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 activeTab="1"/>
  </bookViews>
  <sheets>
    <sheet name="十二个月的现金流" sheetId="1" r:id="rId1"/>
    <sheet name="现金流统计" sheetId="8" r:id="rId2"/>
  </sheets>
  <definedNames>
    <definedName name="CashPaidOutDataValues">OFFSET(CashPaidOutStart,,TotalDataPoints-1,1,-TotalDataPoints)</definedName>
    <definedName name="CashPaidOutStart">PaidOut[[#Totals],[Column2]]</definedName>
    <definedName name="CashPositionDataValues">OFFSET(CashPositionStart,,TotalDataPoints-1,1,-TotalDataPoints)</definedName>
    <definedName name="CashPositionStart">十二个月的现金流!$B$11</definedName>
    <definedName name="CashReceiptsDataValues">OFFSET(CashReceiptsStart,,TotalDataPoints-1,1,-TotalDataPoints)</definedName>
    <definedName name="CashReceiptsStart">Receipts[[#Totals],[Column2]]</definedName>
    <definedName name="DataLabels">OFFSET(DataLabelsStart,,TotalDataPoints-1,1,-TotalDataPoints)</definedName>
    <definedName name="DataLabelsStart">十二个月的现金流!$B$7</definedName>
    <definedName name="FiscalYear">十二个月的现金流!$P$2</definedName>
    <definedName name="_xlnm.Print_Area" localSheetId="1">现金流统计!$A$1:$L$25</definedName>
    <definedName name="_xlnm.Print_Titles" localSheetId="0">十二个月的现金流!$7:$7</definedName>
    <definedName name="TotalDataPoints">现金流统计!$K$26</definedName>
  </definedNames>
  <calcPr calcId="144525"/>
</workbook>
</file>

<file path=xl/sharedStrings.xml><?xml version="1.0" encoding="utf-8"?>
<sst xmlns="http://schemas.openxmlformats.org/spreadsheetml/2006/main" count="41">
  <si>
    <t>十二个月的现金流</t>
  </si>
  <si>
    <t>财政年度开始时间：</t>
  </si>
  <si>
    <t>公司名称</t>
  </si>
  <si>
    <t>地址，市/县，省/市/自治区，邮政编码</t>
  </si>
  <si>
    <t>电话、电子邮件、 Web</t>
  </si>
  <si>
    <t>开始</t>
  </si>
  <si>
    <t>月平均</t>
  </si>
  <si>
    <t>概述</t>
  </si>
  <si>
    <t>现金摘要</t>
  </si>
  <si>
    <t>现有现金
（月初）</t>
  </si>
  <si>
    <t xml:space="preserve">可用现金
（现有 + 未兑现收据） </t>
  </si>
  <si>
    <t>现金状况
（月末）</t>
  </si>
  <si>
    <t>现金收入</t>
  </si>
  <si>
    <t>现金销售</t>
  </si>
  <si>
    <t>贷方应收款</t>
  </si>
  <si>
    <t>贷款/其他现金</t>
  </si>
  <si>
    <t>总现金收入</t>
  </si>
  <si>
    <t>现金支出</t>
  </si>
  <si>
    <t>购买（请指定）</t>
  </si>
  <si>
    <t>总工资（具体提款）</t>
  </si>
  <si>
    <t>用品（办公及经营用品）</t>
  </si>
  <si>
    <t>修理维护费</t>
  </si>
  <si>
    <t>广告</t>
  </si>
  <si>
    <t>租金</t>
  </si>
  <si>
    <t>水电费</t>
  </si>
  <si>
    <t>其他费用（请指定）</t>
  </si>
  <si>
    <t>贷款本金支付</t>
  </si>
  <si>
    <t>资本购买（请指定）</t>
  </si>
  <si>
    <t>其他启动费用</t>
  </si>
  <si>
    <t>保留或由第三人保存</t>
  </si>
  <si>
    <t>所有者提款</t>
  </si>
  <si>
    <t>总现金支出</t>
  </si>
  <si>
    <t>基本运营数据 （非现金流信息）</t>
  </si>
  <si>
    <t>销售量（美元）</t>
  </si>
  <si>
    <t>应收帐款</t>
  </si>
  <si>
    <t>坏帐（月末）</t>
  </si>
  <si>
    <t>现有库存（月末）</t>
  </si>
  <si>
    <t>应付帐款（月末）</t>
  </si>
  <si>
    <t>折旧</t>
  </si>
  <si>
    <t>数据点：</t>
  </si>
  <si>
    <t>（拖动上方滑块以更改绘制的总数据点。）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</si>
</sst>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);[Red]\!\(#,##0\!\);"/>
    <numFmt numFmtId="177" formatCode="\ m\ &quot;月&quot;\ yy\ &quot;日&quot;"/>
    <numFmt numFmtId="178" formatCode="mmmm"/>
  </numFmts>
  <fonts count="35">
    <font>
      <sz val="10"/>
      <color theme="1"/>
      <name val="Arial"/>
      <charset val="134"/>
      <scheme val="minor"/>
    </font>
    <font>
      <sz val="10"/>
      <color theme="1"/>
      <name val="Microsoft YaHei UI"/>
      <charset val="134"/>
    </font>
    <font>
      <i/>
      <sz val="10"/>
      <color theme="1"/>
      <name val="Microsoft YaHei UI"/>
      <charset val="134"/>
    </font>
    <font>
      <sz val="8"/>
      <color theme="0"/>
      <name val="Microsoft YaHei UI"/>
      <charset val="134"/>
    </font>
    <font>
      <sz val="12"/>
      <color theme="1"/>
      <name val="Microsoft YaHei UI"/>
      <charset val="134"/>
    </font>
    <font>
      <b/>
      <sz val="23"/>
      <color theme="1"/>
      <name val="Microsoft YaHei UI"/>
      <charset val="134"/>
    </font>
    <font>
      <b/>
      <sz val="22"/>
      <color theme="1" tint="0.249946592608417"/>
      <name val="Microsoft YaHei UI"/>
      <charset val="134"/>
    </font>
    <font>
      <b/>
      <sz val="10"/>
      <color theme="1"/>
      <name val="Microsoft YaHei UI"/>
      <charset val="134"/>
    </font>
    <font>
      <b/>
      <sz val="12"/>
      <color theme="0"/>
      <name val="Microsoft YaHei UI"/>
      <charset val="134"/>
    </font>
    <font>
      <sz val="12"/>
      <color theme="0"/>
      <name val="Microsoft YaHei UI"/>
      <charset val="134"/>
    </font>
    <font>
      <b/>
      <sz val="9"/>
      <color theme="0"/>
      <name val="Microsoft YaHei UI"/>
      <charset val="134"/>
    </font>
    <font>
      <b/>
      <sz val="12"/>
      <color theme="1"/>
      <name val="Microsoft YaHei UI"/>
      <charset val="134"/>
    </font>
    <font>
      <b/>
      <sz val="12"/>
      <color theme="1" tint="0.249946592608417"/>
      <name val="Microsoft YaHei UI"/>
      <charset val="134"/>
    </font>
    <font>
      <b/>
      <sz val="13"/>
      <color theme="1" tint="0.499984740745262"/>
      <name val="Microsoft YaHei U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sz val="12"/>
      <color theme="0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22"/>
      <color theme="1" tint="0.249946592608417"/>
      <name val="Arial"/>
      <charset val="134"/>
      <scheme val="major"/>
    </font>
    <font>
      <b/>
      <sz val="11"/>
      <color rgb="FFFFFFFF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2"/>
      <color theme="1" tint="0.249946592608417"/>
      <name val="Arial"/>
      <charset val="134"/>
      <scheme val="minor"/>
    </font>
    <font>
      <b/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-0.24994659260841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/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Alignment="0" applyProtection="0"/>
    <xf numFmtId="0" fontId="33" fillId="0" borderId="0" applyNumberFormat="0" applyProtection="0">
      <alignment horizontal="right"/>
    </xf>
    <xf numFmtId="0" fontId="19" fillId="21" borderId="0" applyNumberFormat="0" applyBorder="0" applyAlignment="0" applyProtection="0"/>
    <xf numFmtId="0" fontId="33" fillId="0" borderId="0" applyNumberFormat="0" applyFill="0" applyAlignment="0" applyProtection="0"/>
    <xf numFmtId="0" fontId="21" fillId="20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indent="1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/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3" borderId="0" xfId="0" applyFont="1" applyFill="1" applyBorder="1"/>
    <xf numFmtId="0" fontId="5" fillId="0" borderId="0" xfId="17" applyFont="1" applyFill="1" applyBorder="1" applyAlignment="1">
      <alignment horizontal="left" vertical="center"/>
    </xf>
    <xf numFmtId="0" fontId="6" fillId="0" borderId="0" xfId="17" applyFont="1" applyFill="1" applyBorder="1" applyAlignment="1"/>
    <xf numFmtId="0" fontId="6" fillId="0" borderId="0" xfId="17" applyFont="1" applyFill="1" applyBorder="1"/>
    <xf numFmtId="0" fontId="7" fillId="0" borderId="0" xfId="21" applyFont="1" applyFill="1" applyBorder="1" applyAlignment="1">
      <alignment horizontal="left" vertical="center" indent="1"/>
    </xf>
    <xf numFmtId="0" fontId="8" fillId="0" borderId="0" xfId="21" applyFont="1" applyFill="1" applyBorder="1" applyAlignment="1">
      <alignment vertical="center"/>
    </xf>
    <xf numFmtId="0" fontId="1" fillId="0" borderId="0" xfId="21" applyFont="1" applyFill="1" applyBorder="1" applyAlignment="1">
      <alignment horizontal="left" vertical="center" indent="1"/>
    </xf>
    <xf numFmtId="0" fontId="9" fillId="0" borderId="0" xfId="21" applyFont="1" applyFill="1" applyBorder="1" applyAlignment="1">
      <alignment horizontal="left" vertical="center"/>
    </xf>
    <xf numFmtId="0" fontId="3" fillId="3" borderId="0" xfId="20" applyFont="1" applyFill="1" applyBorder="1" applyAlignment="1">
      <alignment horizontal="right" vertical="center"/>
    </xf>
    <xf numFmtId="0" fontId="10" fillId="3" borderId="0" xfId="20" applyFont="1" applyFill="1" applyBorder="1" applyAlignment="1">
      <alignment horizontal="right" vertical="center"/>
    </xf>
    <xf numFmtId="177" fontId="10" fillId="3" borderId="0" xfId="20" applyNumberFormat="1" applyFont="1" applyFill="1" applyBorder="1" applyAlignment="1">
      <alignment horizontal="right" vertical="center"/>
    </xf>
    <xf numFmtId="0" fontId="11" fillId="0" borderId="0" xfId="22" applyFont="1" applyBorder="1" applyAlignment="1">
      <alignment horizontal="left" indent="2"/>
    </xf>
    <xf numFmtId="0" fontId="1" fillId="0" borderId="0" xfId="0" applyFont="1" applyFill="1" applyBorder="1" applyAlignment="1">
      <alignment horizontal="left" vertical="center" wrapText="1" indent="2"/>
    </xf>
    <xf numFmtId="176" fontId="1" fillId="0" borderId="0" xfId="0" applyNumberFormat="1" applyFont="1" applyFill="1" applyBorder="1" applyAlignment="1">
      <alignment vertical="center"/>
    </xf>
    <xf numFmtId="0" fontId="12" fillId="0" borderId="0" xfId="22" applyFont="1" applyAlignment="1">
      <alignment horizontal="left" indent="2"/>
    </xf>
    <xf numFmtId="0" fontId="12" fillId="0" borderId="0" xfId="22" applyFont="1" applyBorder="1" applyAlignment="1">
      <alignment vertical="center"/>
    </xf>
    <xf numFmtId="0" fontId="11" fillId="0" borderId="0" xfId="22" applyFont="1" applyBorder="1" applyAlignment="1"/>
    <xf numFmtId="0" fontId="13" fillId="0" borderId="0" xfId="22" applyFont="1" applyFill="1" applyBorder="1" applyAlignment="1">
      <alignment vertical="center"/>
    </xf>
    <xf numFmtId="49" fontId="13" fillId="0" borderId="0" xfId="22" applyNumberFormat="1" applyFont="1" applyFill="1" applyBorder="1" applyAlignment="1">
      <alignment horizontal="right" vertical="center"/>
    </xf>
    <xf numFmtId="14" fontId="13" fillId="0" borderId="0" xfId="22" applyNumberFormat="1" applyFont="1" applyFill="1" applyBorder="1" applyAlignment="1">
      <alignment horizontal="right" vertical="center"/>
    </xf>
    <xf numFmtId="0" fontId="9" fillId="0" borderId="0" xfId="21" applyFont="1" applyFill="1" applyBorder="1"/>
    <xf numFmtId="0" fontId="9" fillId="0" borderId="0" xfId="21" applyFont="1" applyFill="1" applyBorder="1" applyAlignment="1">
      <alignment horizontal="right"/>
    </xf>
    <xf numFmtId="17" fontId="9" fillId="0" borderId="0" xfId="21" applyNumberFormat="1" applyFont="1" applyFill="1" applyBorder="1" applyAlignment="1">
      <alignment horizontal="center"/>
    </xf>
    <xf numFmtId="178" fontId="10" fillId="3" borderId="0" xfId="20" applyNumberFormat="1" applyFont="1" applyFill="1" applyBorder="1" applyAlignment="1">
      <alignment horizontal="right" vertical="center" wrapText="1"/>
    </xf>
    <xf numFmtId="178" fontId="10" fillId="3" borderId="0" xfId="2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12" fillId="0" borderId="0" xfId="22" applyFont="1" applyBorder="1"/>
    <xf numFmtId="3" fontId="1" fillId="0" borderId="0" xfId="0" applyNumberFormat="1" applyFont="1" applyFill="1" applyBorder="1" applyAlignment="1"/>
    <xf numFmtId="0" fontId="12" fillId="0" borderId="0" xfId="22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ill>
        <patternFill patternType="solid">
          <bgColor theme="5" tint="0.899960325937681"/>
        </patternFill>
      </fill>
    </dxf>
    <dxf>
      <font>
        <b val="1"/>
        <i val="0"/>
      </font>
      <fill>
        <patternFill patternType="none"/>
      </fill>
    </dxf>
    <dxf>
      <font>
        <color theme="0"/>
      </font>
      <fill>
        <patternFill patternType="solid">
          <bgColor theme="1"/>
        </patternFill>
      </fill>
    </dxf>
    <dxf>
      <border>
        <bottom style="thin">
          <color theme="3" tint="0.399945066682943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4" tint="-0.249977111117893"/>
      </font>
    </dxf>
    <dxf>
      <font>
        <b val="1"/>
        <color theme="4" tint="-0.249977111117893"/>
      </font>
    </dxf>
    <dxf>
      <font>
        <b val="1"/>
        <color theme="4" tint="-0.249977111117893"/>
      </font>
      <border>
        <top style="thin">
          <color theme="4"/>
        </top>
      </border>
    </dxf>
    <dxf>
      <font>
        <b val="1"/>
        <color theme="4" tint="-0.249977111117893"/>
      </font>
      <border>
        <bottom style="thin">
          <color theme="4"/>
        </bottom>
      </border>
    </dxf>
    <dxf>
      <font>
        <color theme="1" tint="0.249946592608417"/>
      </font>
      <border>
        <top style="thin">
          <color theme="4"/>
        </top>
        <bottom style="thin">
          <color theme="4"/>
        </bottom>
      </border>
    </dxf>
  </dxfs>
  <tableStyles count="2" defaultTableStyle="Small Business Budget Style 1" defaultPivotStyle="PivotStyleLight16">
    <tableStyle name="Small Business Budget Style 1" pivot="0" count="4">
      <tableStyleElement type="wholeTable" dxfId="3"/>
      <tableStyleElement type="headerRow" dxfId="2"/>
      <tableStyleElement type="totalRow" dxfId="1"/>
      <tableStyleElement type="firstRowStripe" dxfId="0"/>
    </tableStyle>
    <tableStyle name="Small Business Budget Style 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300" b="1" i="0" u="none" strike="noStrike" kern="1200" baseline="0">
                <a:solidFill>
                  <a:schemeClr val="accent2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r>
              <a:rPr lang="zh-CN" altLang="zh-CN" sz="1800" b="1" i="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</a:rPr>
              <a:t>现金流统计</a:t>
            </a:r>
            <a:endParaRPr lang="zh-CN" altLang="zh-CN" sz="2400">
              <a:effectLst/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c:rich>
      </c:tx>
      <c:layout>
        <c:manualLayout>
          <c:xMode val="edge"/>
          <c:yMode val="edge"/>
          <c:x val="0.370049056367954"/>
          <c:y val="0.02662993692426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343293932836"/>
          <c:y val="0.184991320529378"/>
          <c:w val="0.799313412134327"/>
          <c:h val="0.548963830726911"/>
        </c:manualLayout>
      </c:layout>
      <c:lineChart>
        <c:grouping val="standard"/>
        <c:varyColors val="0"/>
        <c:ser>
          <c:idx val="1"/>
          <c:order val="0"/>
          <c:tx>
            <c:strRef>
              <c:f>"现金收入"</c:f>
              <c:strCache>
                <c:ptCount val="1"/>
                <c:pt idx="0">
                  <c:v>现金收入</c:v>
                </c:pt>
              </c:strCache>
            </c:strRef>
          </c:tx>
          <c:spPr>
            <a:ln w="47625" cap="rnd" cmpd="sng" algn="ctr">
              <a:solidFill>
                <a:schemeClr val="accent3"/>
              </a:solidFill>
              <a:prstDash val="solid"/>
              <a:round/>
            </a:ln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[0]!DataLabels</c:f>
              <c:strCache>
                <c:ptCount val="6"/>
                <c:pt idx="0">
                  <c:v>开始</c:v>
                </c:pt>
                <c:pt idx="1" c:formatCode="\ m\ &quot;月&quot;\ yy\ &quot;日&quot;">
                  <c:v> 7 月 13 日</c:v>
                </c:pt>
                <c:pt idx="2" c:formatCode="\ m\ &quot;月&quot;\ yy\ &quot;日&quot;">
                  <c:v> 8 月 13 日</c:v>
                </c:pt>
                <c:pt idx="3" c:formatCode="\ m\ &quot;月&quot;\ yy\ &quot;日&quot;">
                  <c:v> 9 月 13 日</c:v>
                </c:pt>
                <c:pt idx="4" c:formatCode="\ m\ &quot;月&quot;\ yy\ &quot;日&quot;">
                  <c:v> 10 月 13 日</c:v>
                </c:pt>
                <c:pt idx="5" c:formatCode="\ m\ &quot;月&quot;\ yy\ &quot;日&quot;">
                  <c:v> 11 月 13 日</c:v>
                </c:pt>
              </c:strCache>
            </c:strRef>
          </c:cat>
          <c:val>
            <c:numRef>
              <c:f>[0]!CashReceiptsDataValues</c:f>
              <c:numCache>
                <c:formatCode>#,##0_);[Red]\!\(#,##0\!\);</c:formatCode>
                <c:ptCount val="6"/>
                <c:pt idx="0">
                  <c:v>125930</c:v>
                </c:pt>
                <c:pt idx="1">
                  <c:v>84720</c:v>
                </c:pt>
                <c:pt idx="2">
                  <c:v>290360</c:v>
                </c:pt>
                <c:pt idx="3">
                  <c:v>352930</c:v>
                </c:pt>
                <c:pt idx="4">
                  <c:v>203720</c:v>
                </c:pt>
                <c:pt idx="5">
                  <c:v>105820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"现金支出"</c:f>
              <c:strCache>
                <c:ptCount val="1"/>
                <c:pt idx="0">
                  <c:v>现金支出</c:v>
                </c:pt>
              </c:strCache>
            </c:strRef>
          </c:tx>
          <c:spPr>
            <a:ln w="47625" cap="rnd" cmpd="sng" algn="ctr">
              <a:solidFill>
                <a:schemeClr val="accent4"/>
              </a:solidFill>
              <a:prstDash val="solid"/>
              <a:round/>
            </a:ln>
          </c:spPr>
          <c:marker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[0]!DataLabels</c:f>
              <c:strCache>
                <c:ptCount val="6"/>
                <c:pt idx="0">
                  <c:v>开始</c:v>
                </c:pt>
                <c:pt idx="1" c:formatCode="\ m\ &quot;月&quot;\ yy\ &quot;日&quot;">
                  <c:v> 7 月 13 日</c:v>
                </c:pt>
                <c:pt idx="2" c:formatCode="\ m\ &quot;月&quot;\ yy\ &quot;日&quot;">
                  <c:v> 8 月 13 日</c:v>
                </c:pt>
                <c:pt idx="3" c:formatCode="\ m\ &quot;月&quot;\ yy\ &quot;日&quot;">
                  <c:v> 9 月 13 日</c:v>
                </c:pt>
                <c:pt idx="4" c:formatCode="\ m\ &quot;月&quot;\ yy\ &quot;日&quot;">
                  <c:v> 10 月 13 日</c:v>
                </c:pt>
                <c:pt idx="5" c:formatCode="\ m\ &quot;月&quot;\ yy\ &quot;日&quot;">
                  <c:v> 11 月 13 日</c:v>
                </c:pt>
              </c:strCache>
            </c:strRef>
          </c:cat>
          <c:val>
            <c:numRef>
              <c:f>[0]!CashPaidOutDataValues</c:f>
              <c:numCache>
                <c:formatCode>#,##0_);[Red]\!\(#,##0\!\);</c:formatCode>
                <c:ptCount val="6"/>
                <c:pt idx="1">
                  <c:v>218000</c:v>
                </c:pt>
                <c:pt idx="2">
                  <c:v>275620</c:v>
                </c:pt>
                <c:pt idx="3">
                  <c:v>217420</c:v>
                </c:pt>
                <c:pt idx="4">
                  <c:v>240440</c:v>
                </c:pt>
                <c:pt idx="5">
                  <c:v>247870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08080"/>
        <c:axId val="111896832"/>
      </c:lineChart>
      <c:lineChart>
        <c:grouping val="standard"/>
        <c:varyColors val="0"/>
        <c:ser>
          <c:idx val="2"/>
          <c:order val="2"/>
          <c:tx>
            <c:strRef>
              <c:f>"现金状况"</c:f>
              <c:strCache>
                <c:ptCount val="1"/>
                <c:pt idx="0">
                  <c:v>现金状况</c:v>
                </c:pt>
              </c:strCache>
            </c:strRef>
          </c:tx>
          <c:spPr>
            <a:ln w="47625" cap="rnd" cmpd="sng" algn="ctr">
              <a:solidFill>
                <a:schemeClr val="accent1"/>
              </a:solidFill>
              <a:prstDash val="solid"/>
              <a:round/>
            </a:ln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[0]!DataLabels</c:f>
              <c:strCache>
                <c:ptCount val="6"/>
                <c:pt idx="0">
                  <c:v>开始</c:v>
                </c:pt>
                <c:pt idx="1" c:formatCode="\ m\ &quot;月&quot;\ yy\ &quot;日&quot;">
                  <c:v> 7 月 13 日</c:v>
                </c:pt>
                <c:pt idx="2" c:formatCode="\ m\ &quot;月&quot;\ yy\ &quot;日&quot;">
                  <c:v> 8 月 13 日</c:v>
                </c:pt>
                <c:pt idx="3" c:formatCode="\ m\ &quot;月&quot;\ yy\ &quot;日&quot;">
                  <c:v> 9 月 13 日</c:v>
                </c:pt>
                <c:pt idx="4" c:formatCode="\ m\ &quot;月&quot;\ yy\ &quot;日&quot;">
                  <c:v> 10 月 13 日</c:v>
                </c:pt>
                <c:pt idx="5" c:formatCode="\ m\ &quot;月&quot;\ yy\ &quot;日&quot;">
                  <c:v> 11 月 13 日</c:v>
                </c:pt>
              </c:strCache>
            </c:strRef>
          </c:cat>
          <c:val>
            <c:numRef>
              <c:f>[0]!CashPositionDataValues</c:f>
              <c:numCache>
                <c:formatCode>#,##0_);[Red]\!\(#,##0\!\);</c:formatCode>
                <c:ptCount val="6"/>
                <c:pt idx="0">
                  <c:v>675930</c:v>
                </c:pt>
                <c:pt idx="1">
                  <c:v>542650</c:v>
                </c:pt>
                <c:pt idx="2">
                  <c:v>557390</c:v>
                </c:pt>
                <c:pt idx="3">
                  <c:v>692900</c:v>
                </c:pt>
                <c:pt idx="4">
                  <c:v>656180</c:v>
                </c:pt>
                <c:pt idx="5">
                  <c:v>514130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35536"/>
        <c:axId val="112534992"/>
      </c:lineChart>
      <c:catAx>
        <c:axId val="1124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</a:p>
        </c:txPr>
        <c:crossAx val="111896832"/>
        <c:crosses val="autoZero"/>
        <c:auto val="1"/>
        <c:lblAlgn val="ctr"/>
        <c:lblOffset val="100"/>
        <c:noMultiLvlLbl val="0"/>
      </c:catAx>
      <c:valAx>
        <c:axId val="111896832"/>
        <c:scaling>
          <c:orientation val="minMax"/>
        </c:scaling>
        <c:delete val="0"/>
        <c:axPos val="l"/>
        <c:majorGridlines/>
        <c:numFmt formatCode="#,##0_);[Red]\!\(#,##0\!\);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</a:p>
        </c:txPr>
        <c:crossAx val="112408080"/>
        <c:crosses val="autoZero"/>
        <c:crossBetween val="between"/>
      </c:valAx>
      <c:catAx>
        <c:axId val="11253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12534992"/>
        <c:crosses val="autoZero"/>
        <c:auto val="1"/>
        <c:lblAlgn val="ctr"/>
        <c:lblOffset val="100"/>
        <c:noMultiLvlLbl val="0"/>
      </c:catAx>
      <c:valAx>
        <c:axId val="112534992"/>
        <c:scaling>
          <c:orientation val="minMax"/>
        </c:scaling>
        <c:delete val="0"/>
        <c:axPos val="r"/>
        <c:numFmt formatCode="#,##0_);[Red]\!\(#,##0\!\);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</a:p>
        </c:txPr>
        <c:crossAx val="112535536"/>
        <c:crosses val="max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6" fmlaLink="现金流统计!$K$26" horiz="1" max="13" min="2" page="1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9616;&#37329;&#27969;&#32479;&#35745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1313;&#20108;&#20010;&#26376;&#30340;&#29616;&#37329;&#27969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130279</xdr:colOff>
      <xdr:row>2</xdr:row>
      <xdr:rowOff>98423</xdr:rowOff>
    </xdr:from>
    <xdr:to>
      <xdr:col>15</xdr:col>
      <xdr:colOff>745159</xdr:colOff>
      <xdr:row>3</xdr:row>
      <xdr:rowOff>204151</xdr:rowOff>
    </xdr:to>
    <xdr:sp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13655675" y="831215"/>
          <a:ext cx="2291080" cy="32512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50">
              <a:latin typeface="Microsoft YaHei UI" panose="020B0503020204020204" pitchFamily="34" charset="-122"/>
              <a:ea typeface="Microsoft YaHei UI" panose="020B0503020204020204" pitchFamily="34" charset="-122"/>
            </a:rPr>
            <a:t>现金流统计</a:t>
          </a:r>
          <a:endParaRPr lang="en-US" sz="1150"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25</xdr:row>
          <xdr:rowOff>57150</xdr:rowOff>
        </xdr:from>
        <xdr:to>
          <xdr:col>8</xdr:col>
          <xdr:colOff>457200</xdr:colOff>
          <xdr:row>26</xdr:row>
          <xdr:rowOff>9525</xdr:rowOff>
        </xdr:to>
        <xdr:sp>
          <xdr:nvSpPr>
            <xdr:cNvPr id="6145" name="Scroll Ba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952500" y="4105275"/>
              <a:ext cx="4210050" cy="2000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absolute">
    <xdr:from>
      <xdr:col>1</xdr:col>
      <xdr:colOff>19048</xdr:colOff>
      <xdr:row>1</xdr:row>
      <xdr:rowOff>27151</xdr:rowOff>
    </xdr:from>
    <xdr:to>
      <xdr:col>10</xdr:col>
      <xdr:colOff>606313</xdr:colOff>
      <xdr:row>23</xdr:row>
      <xdr:rowOff>1860</xdr:rowOff>
    </xdr:to>
    <xdr:graphicFrame>
      <xdr:nvGraphicFramePr>
        <xdr:cNvPr id="3" name="现金流统计" descr="折线图表示现金收入、现金支出和现金状况。可使用滑块或单元格 K27 更改绘制在表上的数据点总数。" title="现金流统计表"/>
        <xdr:cNvGraphicFramePr/>
      </xdr:nvGraphicFramePr>
      <xdr:xfrm>
        <a:off x="189865" y="188595"/>
        <a:ext cx="6416675" cy="3536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104774</xdr:colOff>
      <xdr:row>0</xdr:row>
      <xdr:rowOff>123824</xdr:rowOff>
    </xdr:from>
    <xdr:to>
      <xdr:col>16</xdr:col>
      <xdr:colOff>561974</xdr:colOff>
      <xdr:row>2</xdr:row>
      <xdr:rowOff>93519</xdr:rowOff>
    </xdr:to>
    <xdr:sp>
      <xdr:nvSpPr>
        <xdr:cNvPr id="4" name="矩形 3">
          <a:hlinkClick xmlns:r="http://schemas.openxmlformats.org/officeDocument/2006/relationships" r:id="rId2"/>
        </xdr:cNvPr>
        <xdr:cNvSpPr/>
      </xdr:nvSpPr>
      <xdr:spPr>
        <a:xfrm>
          <a:off x="7371715" y="123190"/>
          <a:ext cx="2286000" cy="29400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zh-CN" altLang="en-US" sz="115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rPr>
            <a:t>十二个月的现金流</a:t>
          </a:r>
          <a:endParaRPr lang="en-US" sz="1150">
            <a:solidFill>
              <a:schemeClr val="lt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+mn-cs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ummary" displayName="Summary" ref="A9:P11" headerRowCount="0" totalsRowShown="0">
  <tableColumns count="1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</tableColumns>
  <tableStyleInfo name="Small Business Budget Style 1" showFirstColumn="0" showLastColumn="0" showRowStripes="1" showColumnStripes="0"/>
</table>
</file>

<file path=xl/tables/table2.xml><?xml version="1.0" encoding="utf-8"?>
<table xmlns="http://schemas.openxmlformats.org/spreadsheetml/2006/main" id="3" name="Receipts" displayName="Receipts" ref="A14:P17" headerRowCount="0" totalsRowCount="1">
  <tableColumns count="16">
    <tableColumn id="1" name="Column1" totalsRowLabel="总现金收入"/>
    <tableColumn id="2" name="Column2" totalsRowFunction="sum"/>
    <tableColumn id="3" name="Column3" totalsRowFunction="sum"/>
    <tableColumn id="4" name="Column4" totalsRowFunction="sum"/>
    <tableColumn id="5" name="Column5" totalsRowFunction="sum"/>
    <tableColumn id="6" name="Column6" totalsRowFunction="sum"/>
    <tableColumn id="7" name="Column7" totalsRowFunction="sum"/>
    <tableColumn id="8" name="Column8" totalsRowFunction="sum"/>
    <tableColumn id="9" name="Column9" totalsRowFunction="sum"/>
    <tableColumn id="10" name="Column10" totalsRowFunction="sum"/>
    <tableColumn id="11" name="Column11" totalsRowFunction="sum"/>
    <tableColumn id="12" name="Column12" totalsRowFunction="sum"/>
    <tableColumn id="13" name="Column13" totalsRowFunction="sum"/>
    <tableColumn id="14" name="Column14" totalsRowFunction="sum"/>
    <tableColumn id="15" name="Column15" totalsRowFunction="custom">
      <calculatedColumnFormula>IFERROR(AVERAGE(Receipts[[#Totals],[Column3]:[Column14]]),"")</calculatedColumnFormula>
      <totalsRowFormula>IFERROR(AVERAGE(Receipts[[#Totals],[Column3]:[Column14]]),"")</totalsRowFormula>
    </tableColumn>
    <tableColumn id="16" name="Column16"/>
  </tableColumns>
  <tableStyleInfo name="Small Business Budget Style 1" showFirstColumn="0" showLastColumn="0" showRowStripes="1" showColumnStripes="0"/>
</table>
</file>

<file path=xl/tables/table3.xml><?xml version="1.0" encoding="utf-8"?>
<table xmlns="http://schemas.openxmlformats.org/spreadsheetml/2006/main" id="4" name="PaidOut" displayName="PaidOut" ref="A20:P33" headerRowCount="0" totalsRowCount="1">
  <tableColumns count="16">
    <tableColumn id="1" name="Column1" totalsRowLabel="总现金支出"/>
    <tableColumn id="2" name="Column2"/>
    <tableColumn id="3" name="Column3" totalsRowFunction="sum"/>
    <tableColumn id="4" name="Column4" totalsRowFunction="sum"/>
    <tableColumn id="5" name="Column5" totalsRowFunction="sum"/>
    <tableColumn id="6" name="Column6" totalsRowFunction="sum"/>
    <tableColumn id="7" name="Column7" totalsRowFunction="sum"/>
    <tableColumn id="8" name="Column8" totalsRowFunction="sum"/>
    <tableColumn id="9" name="Column9" totalsRowFunction="sum"/>
    <tableColumn id="10" name="Column10" totalsRowFunction="sum"/>
    <tableColumn id="11" name="Column11" totalsRowFunction="sum"/>
    <tableColumn id="12" name="Column12" totalsRowFunction="sum"/>
    <tableColumn id="13" name="Column13" totalsRowFunction="sum"/>
    <tableColumn id="14" name="Column14" totalsRowFunction="sum"/>
    <tableColumn id="15" name="Column15" totalsRowFunction="custom">
      <calculatedColumnFormula>IFERROR(AVERAGE(PaidOut[[#Totals],[Column3]:[Column14]]),"")</calculatedColumnFormula>
      <totalsRowFormula>IFERROR(AVERAGE(PaidOut[[#Totals],[Column3]:[Column14]]),"")</totalsRowFormula>
    </tableColumn>
    <tableColumn id="16" name="Column16"/>
  </tableColumns>
  <tableStyleInfo name="Small Business Budget Style 1" showFirstColumn="0" showLastColumn="0" showRowStripes="1" showColumnStripes="0"/>
</table>
</file>

<file path=xl/tables/table4.xml><?xml version="1.0" encoding="utf-8"?>
<table xmlns="http://schemas.openxmlformats.org/spreadsheetml/2006/main" id="2" name="EssencialOperatingData" displayName="EssencialOperatingData" ref="A36:P41" headerRowCount="0" totalsRowShown="0">
  <tableColumns count="1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</tableColumns>
  <tableStyleInfo name="Small Business Budget Style 1" showFirstColumn="0" showLastColumn="0" showRowStripes="1" showColumnStripes="0"/>
</table>
</file>

<file path=xl/theme/theme1.xml><?xml version="1.0" encoding="utf-8"?>
<a:theme xmlns:a="http://schemas.openxmlformats.org/drawingml/2006/main" name="genesis_mac">
  <a:themeElements>
    <a:clrScheme name="Small Business Budget 2">
      <a:dk1>
        <a:srgbClr val="0C0C0C"/>
      </a:dk1>
      <a:lt1>
        <a:sysClr val="window" lastClr="FFFFFF"/>
      </a:lt1>
      <a:dk2>
        <a:srgbClr val="363636"/>
      </a:dk2>
      <a:lt2>
        <a:srgbClr val="D8D8D8"/>
      </a:lt2>
      <a:accent1>
        <a:srgbClr val="80B622"/>
      </a:accent1>
      <a:accent2>
        <a:srgbClr val="0C0C0C"/>
      </a:accent2>
      <a:accent3>
        <a:srgbClr val="FF6600"/>
      </a:accent3>
      <a:accent4>
        <a:srgbClr val="2397E2"/>
      </a:accent4>
      <a:accent5>
        <a:srgbClr val="D7D700"/>
      </a:accent5>
      <a:accent6>
        <a:srgbClr val="CC9900"/>
      </a:accent6>
      <a:hlink>
        <a:srgbClr val="00B0F0"/>
      </a:hlink>
      <a:folHlink>
        <a:srgbClr val="0070C0"/>
      </a:folHlink>
    </a:clrScheme>
    <a:fontScheme name="Custom 6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P41"/>
  <sheetViews>
    <sheetView showGridLines="0" zoomScale="80" zoomScaleNormal="80" workbookViewId="0">
      <pane ySplit="7" topLeftCell="A8" activePane="bottomLeft" state="frozen"/>
      <selection/>
      <selection pane="bottomLeft" activeCell="C49" sqref="C49"/>
    </sheetView>
  </sheetViews>
  <sheetFormatPr defaultColWidth="8.85714285714286" defaultRowHeight="15"/>
  <cols>
    <col min="1" max="1" width="39" style="9" customWidth="1"/>
    <col min="2" max="2" width="11.5714285714286" style="9" customWidth="1"/>
    <col min="3" max="5" width="13.5714285714286" style="9" customWidth="1"/>
    <col min="6" max="8" width="14.5714285714286" style="9" customWidth="1"/>
    <col min="9" max="14" width="13.5714285714286" style="9" customWidth="1"/>
    <col min="15" max="15" width="11.5714285714286" style="9" customWidth="1"/>
    <col min="16" max="16" width="13.7142857142857" style="9" customWidth="1"/>
    <col min="17" max="17" width="8.85714285714286" style="9"/>
    <col min="18" max="18" width="16.1428571428571" style="9" customWidth="1"/>
    <col min="19" max="19" width="16.2857142857143" style="9" customWidth="1"/>
    <col min="20" max="16384" width="8.85714285714286" style="9"/>
  </cols>
  <sheetData>
    <row r="1" spans="1:1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42.75" customHeight="1" spans="1:16">
      <c r="A2" s="11" t="s">
        <v>0</v>
      </c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  <c r="N2" s="27"/>
      <c r="O2" s="28" t="s">
        <v>1</v>
      </c>
      <c r="P2" s="29">
        <v>41456</v>
      </c>
    </row>
    <row r="3" ht="17.25" customHeight="1" spans="1:16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17.25" customHeight="1" spans="1:16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30"/>
      <c r="O4" s="31"/>
      <c r="P4" s="32"/>
    </row>
    <row r="5" ht="17.25" customHeight="1" spans="1:16">
      <c r="A5" s="16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30"/>
      <c r="O5" s="31"/>
      <c r="P5" s="32"/>
    </row>
    <row r="6" ht="8.25" customHeight="1" spans="2:16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30"/>
      <c r="O6" s="31"/>
      <c r="P6" s="32"/>
    </row>
    <row r="7" s="7" customFormat="1" ht="29.25" customHeight="1" spans="1:16">
      <c r="A7" s="18"/>
      <c r="B7" s="19" t="s">
        <v>5</v>
      </c>
      <c r="C7" s="20">
        <f>FiscalYear</f>
        <v>41456</v>
      </c>
      <c r="D7" s="20">
        <f>DATE(YEAR(C7),MONTH(C7)+1,1)</f>
        <v>41487</v>
      </c>
      <c r="E7" s="20">
        <f t="shared" ref="E7:N7" si="0">DATE(YEAR(D7),MONTH(D7)+1,1)</f>
        <v>41518</v>
      </c>
      <c r="F7" s="20">
        <f t="shared" si="0"/>
        <v>41548</v>
      </c>
      <c r="G7" s="20">
        <f t="shared" si="0"/>
        <v>41579</v>
      </c>
      <c r="H7" s="20">
        <f t="shared" si="0"/>
        <v>41609</v>
      </c>
      <c r="I7" s="20">
        <f t="shared" si="0"/>
        <v>41640</v>
      </c>
      <c r="J7" s="20">
        <f t="shared" si="0"/>
        <v>41671</v>
      </c>
      <c r="K7" s="20">
        <f t="shared" si="0"/>
        <v>41699</v>
      </c>
      <c r="L7" s="20">
        <f t="shared" si="0"/>
        <v>41730</v>
      </c>
      <c r="M7" s="20">
        <f t="shared" si="0"/>
        <v>41760</v>
      </c>
      <c r="N7" s="20">
        <f t="shared" si="0"/>
        <v>41791</v>
      </c>
      <c r="O7" s="33" t="s">
        <v>6</v>
      </c>
      <c r="P7" s="34" t="s">
        <v>7</v>
      </c>
    </row>
    <row r="8" ht="34.5" customHeight="1" spans="1:16">
      <c r="A8" s="21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ht="29.25" customHeight="1" spans="1:16">
      <c r="A9" s="22" t="s">
        <v>9</v>
      </c>
      <c r="B9" s="23">
        <v>550000</v>
      </c>
      <c r="C9" s="23">
        <f>IF(Receipts[[#Totals],[Column3]]+PaidOut[[#Totals],[Column3]]=0,"",B11)</f>
        <v>675930</v>
      </c>
      <c r="D9" s="23">
        <f>IF(Receipts[[#Totals],[Column4]]+PaidOut[[#Totals],[Column4]]=0,"",C11)</f>
        <v>542650</v>
      </c>
      <c r="E9" s="23">
        <f>IF(Receipts[[#Totals],[Column5]]+PaidOut[[#Totals],[Column5]]=0,"",D11)</f>
        <v>557390</v>
      </c>
      <c r="F9" s="23">
        <f>IF(Receipts[[#Totals],[Column6]]+PaidOut[[#Totals],[Column6]]=0,"",E11)</f>
        <v>692900</v>
      </c>
      <c r="G9" s="23">
        <f>IF(Receipts[[#Totals],[Column7]]+PaidOut[[#Totals],[Column7]]=0,"",F11)</f>
        <v>656180</v>
      </c>
      <c r="H9" s="23" t="str">
        <f>IF(Receipts[[#Totals],[Column8]]+PaidOut[[#Totals],[Column8]]=0,"",G11)</f>
        <v/>
      </c>
      <c r="I9" s="23" t="str">
        <f>IF(Receipts[[#Totals],[Column9]]+PaidOut[[#Totals],[Column9]]=0,"",H11)</f>
        <v/>
      </c>
      <c r="J9" s="23" t="str">
        <f>IF(Receipts[[#Totals],[Column10]]+PaidOut[[#Totals],[Column10]]=0,"",I11)</f>
        <v/>
      </c>
      <c r="K9" s="23" t="str">
        <f>IF(Receipts[[#Totals],[Column11]]+PaidOut[[#Totals],[Column11]]=0,"",J11)</f>
        <v/>
      </c>
      <c r="L9" s="23" t="str">
        <f>IF(Receipts[[#Totals],[Column12]]+PaidOut[[#Totals],[Column12]]=0,"",K11)</f>
        <v/>
      </c>
      <c r="M9" s="23" t="str">
        <f>IF(Receipts[[#Totals],[Column13]]+PaidOut[[#Totals],[Column13]]=0,"",L11)</f>
        <v/>
      </c>
      <c r="N9" s="23" t="str">
        <f>IF(Receipts[[#Totals],[Column14]]+PaidOut[[#Totals],[Column14]]=0,"",M11)</f>
        <v/>
      </c>
      <c r="O9" s="23">
        <f>IFERROR(AVERAGE(Summary[[#This Row],[Column3]:[Column14]]),"")</f>
        <v>625010</v>
      </c>
      <c r="P9" s="35"/>
    </row>
    <row r="10" ht="29.25" customHeight="1" spans="1:16">
      <c r="A10" s="22" t="s">
        <v>10</v>
      </c>
      <c r="B10" s="23">
        <f>SUM(B9,Receipts[[#Totals],[Column2]])</f>
        <v>675930</v>
      </c>
      <c r="C10" s="23">
        <f>IF(C9="","",SUM(C9,Receipts[[#Totals],[Column3]]))</f>
        <v>760650</v>
      </c>
      <c r="D10" s="23">
        <f>IF(D9="","",SUM(D9,Receipts[[#Totals],[Column4]]))</f>
        <v>833010</v>
      </c>
      <c r="E10" s="23">
        <f>IF(E9="","",SUM(E9,Receipts[[#Totals],[Column5]]))</f>
        <v>910320</v>
      </c>
      <c r="F10" s="23">
        <f>IF(F9="","",SUM(F9,Receipts[[#Totals],[Column6]]))</f>
        <v>896620</v>
      </c>
      <c r="G10" s="23">
        <f>IF(G9="","",SUM(G9,Receipts[[#Totals],[Column7]]))</f>
        <v>762000</v>
      </c>
      <c r="H10" s="23" t="str">
        <f>IF(H9="","",SUM(H9,Receipts[[#Totals],[Column8]]))</f>
        <v/>
      </c>
      <c r="I10" s="23" t="str">
        <f>IF(I9="","",SUM(I9,Receipts[[#Totals],[Column9]]))</f>
        <v/>
      </c>
      <c r="J10" s="23" t="str">
        <f>IF(J9="","",SUM(J9,Receipts[[#Totals],[Column10]]))</f>
        <v/>
      </c>
      <c r="K10" s="23" t="str">
        <f>IF(K9="","",SUM(K9,Receipts[[#Totals],[Column11]]))</f>
        <v/>
      </c>
      <c r="L10" s="23" t="str">
        <f>IF(L9="","",SUM(L9,Receipts[[#Totals],[Column12]]))</f>
        <v/>
      </c>
      <c r="M10" s="23" t="str">
        <f>IF(M9="","",SUM(M9,Receipts[[#Totals],[Column13]]))</f>
        <v/>
      </c>
      <c r="N10" s="23" t="str">
        <f>IF(N9="","",SUM(N9,Receipts[[#Totals],[Column14]]))</f>
        <v/>
      </c>
      <c r="O10" s="23">
        <f>IFERROR(AVERAGE(Summary[[#This Row],[Column3]:[Column14]]),"")</f>
        <v>832520</v>
      </c>
      <c r="P10" s="35"/>
    </row>
    <row r="11" ht="29.25" customHeight="1" spans="1:16">
      <c r="A11" s="22" t="s">
        <v>11</v>
      </c>
      <c r="B11" s="23">
        <f>(B10-PaidOut[[#Totals],[Column2]])</f>
        <v>675930</v>
      </c>
      <c r="C11" s="23">
        <f>IFERROR(C10-PaidOut[[#Totals],[Column3]],"")</f>
        <v>542650</v>
      </c>
      <c r="D11" s="23">
        <f>IFERROR(D10-PaidOut[[#Totals],[Column4]],"")</f>
        <v>557390</v>
      </c>
      <c r="E11" s="23">
        <f>IFERROR(E10-PaidOut[[#Totals],[Column5]],"")</f>
        <v>692900</v>
      </c>
      <c r="F11" s="23">
        <f>IFERROR(F10-PaidOut[[#Totals],[Column6]],"")</f>
        <v>656180</v>
      </c>
      <c r="G11" s="23">
        <f>IFERROR(G10-PaidOut[[#Totals],[Column7]],"")</f>
        <v>514130</v>
      </c>
      <c r="H11" s="23" t="str">
        <f>IFERROR(H10-PaidOut[[#Totals],[Column8]],"")</f>
        <v/>
      </c>
      <c r="I11" s="23" t="str">
        <f>IFERROR(I10-PaidOut[[#Totals],[Column9]],"")</f>
        <v/>
      </c>
      <c r="J11" s="23" t="str">
        <f>IFERROR(J10-PaidOut[[#Totals],[Column10]],"")</f>
        <v/>
      </c>
      <c r="K11" s="23" t="str">
        <f>IFERROR(K10-PaidOut[[#Totals],[Column11]],"")</f>
        <v/>
      </c>
      <c r="L11" s="23" t="str">
        <f>IFERROR(L10-PaidOut[[#Totals],[Column12]],"")</f>
        <v/>
      </c>
      <c r="M11" s="23" t="str">
        <f>IFERROR(M10-PaidOut[[#Totals],[Column13]],"")</f>
        <v/>
      </c>
      <c r="N11" s="23" t="str">
        <f>IFERROR(N10-PaidOut[[#Totals],[Column14]],"")</f>
        <v/>
      </c>
      <c r="O11" s="23">
        <f>IFERROR(AVERAGE(Summary[[#This Row],[Column3]:[Column14]]),"")</f>
        <v>592650</v>
      </c>
      <c r="P11" s="35"/>
    </row>
    <row r="12" ht="17.25" customHeight="1" spans="1:16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ht="17.25" customHeight="1" spans="1:16">
      <c r="A13" s="24" t="s">
        <v>12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6"/>
    </row>
    <row r="14" s="8" customFormat="1" ht="17.25" customHeight="1" spans="1:16">
      <c r="A14" s="22" t="s">
        <v>13</v>
      </c>
      <c r="B14" s="23">
        <v>56160</v>
      </c>
      <c r="C14" s="23">
        <v>38890</v>
      </c>
      <c r="D14" s="23">
        <v>244110</v>
      </c>
      <c r="E14" s="23">
        <v>316420</v>
      </c>
      <c r="F14" s="23">
        <v>146470</v>
      </c>
      <c r="G14" s="23">
        <v>30340</v>
      </c>
      <c r="H14" s="23"/>
      <c r="I14" s="23"/>
      <c r="J14" s="23"/>
      <c r="K14" s="23"/>
      <c r="L14" s="23"/>
      <c r="M14" s="23"/>
      <c r="N14" s="23"/>
      <c r="O14" s="23">
        <f>IFERROR(AVERAGE(Receipts[[#This Row],[Column3]:[Column14]]),"")</f>
        <v>155246</v>
      </c>
      <c r="P14" s="37"/>
    </row>
    <row r="15" s="8" customFormat="1" ht="17.25" customHeight="1" spans="1:16">
      <c r="A15" s="22" t="s">
        <v>14</v>
      </c>
      <c r="B15" s="23">
        <v>44980</v>
      </c>
      <c r="C15" s="23">
        <v>34930</v>
      </c>
      <c r="D15" s="23">
        <v>19870</v>
      </c>
      <c r="E15" s="23">
        <v>10290</v>
      </c>
      <c r="F15" s="23">
        <v>29110</v>
      </c>
      <c r="G15" s="23">
        <v>42340</v>
      </c>
      <c r="H15" s="23"/>
      <c r="I15" s="23"/>
      <c r="J15" s="23"/>
      <c r="K15" s="23"/>
      <c r="L15" s="23"/>
      <c r="M15" s="23"/>
      <c r="N15" s="23"/>
      <c r="O15" s="23">
        <f>IFERROR(AVERAGE(Receipts[[#This Row],[Column3]:[Column14]]),"")</f>
        <v>27308</v>
      </c>
      <c r="P15" s="37"/>
    </row>
    <row r="16" s="8" customFormat="1" ht="17.25" customHeight="1" spans="1:16">
      <c r="A16" s="22" t="s">
        <v>15</v>
      </c>
      <c r="B16" s="23">
        <v>24790</v>
      </c>
      <c r="C16" s="23">
        <v>10900</v>
      </c>
      <c r="D16" s="23">
        <v>26380</v>
      </c>
      <c r="E16" s="23">
        <v>26220</v>
      </c>
      <c r="F16" s="23">
        <v>28140</v>
      </c>
      <c r="G16" s="23">
        <v>33140</v>
      </c>
      <c r="H16" s="23"/>
      <c r="I16" s="23"/>
      <c r="J16" s="23"/>
      <c r="K16" s="23"/>
      <c r="L16" s="23"/>
      <c r="M16" s="23"/>
      <c r="N16" s="23"/>
      <c r="O16" s="23">
        <f>IFERROR(AVERAGE(Receipts[[#This Row],[Column3]:[Column14]]),"")</f>
        <v>24956</v>
      </c>
      <c r="P16" s="37"/>
    </row>
    <row r="17" s="8" customFormat="1" ht="17.25" customHeight="1" spans="1:16">
      <c r="A17" s="22" t="s">
        <v>16</v>
      </c>
      <c r="B17" s="23">
        <f>SUBTOTAL(109,Receipts[Column2])</f>
        <v>125930</v>
      </c>
      <c r="C17" s="23">
        <f>SUBTOTAL(109,Receipts[Column3])</f>
        <v>84720</v>
      </c>
      <c r="D17" s="23">
        <f>SUBTOTAL(109,Receipts[Column4])</f>
        <v>290360</v>
      </c>
      <c r="E17" s="23">
        <f>SUBTOTAL(109,Receipts[Column5])</f>
        <v>352930</v>
      </c>
      <c r="F17" s="23">
        <f>SUBTOTAL(109,Receipts[Column6])</f>
        <v>203720</v>
      </c>
      <c r="G17" s="23">
        <f>SUBTOTAL(109,Receipts[Column7])</f>
        <v>105820</v>
      </c>
      <c r="H17" s="23">
        <f>SUBTOTAL(109,Receipts[Column8])</f>
        <v>0</v>
      </c>
      <c r="I17" s="23">
        <f>SUBTOTAL(109,Receipts[Column9])</f>
        <v>0</v>
      </c>
      <c r="J17" s="23">
        <f>SUBTOTAL(109,Receipts[Column10])</f>
        <v>0</v>
      </c>
      <c r="K17" s="23">
        <f>SUBTOTAL(109,Receipts[Column11])</f>
        <v>0</v>
      </c>
      <c r="L17" s="23">
        <f>SUBTOTAL(109,Receipts[Column12])</f>
        <v>0</v>
      </c>
      <c r="M17" s="23">
        <f>SUBTOTAL(109,Receipts[Column13])</f>
        <v>0</v>
      </c>
      <c r="N17" s="23">
        <f>SUBTOTAL(109,Receipts[Column14])</f>
        <v>0</v>
      </c>
      <c r="O17" s="23">
        <f>IFERROR(AVERAGE(Receipts[[#Totals],[Column3]:[Column14]]),"")</f>
        <v>86462.5</v>
      </c>
      <c r="P17" s="37"/>
    </row>
    <row r="18" s="8" customFormat="1" ht="17.25" customHeight="1" spans="1:1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="8" customFormat="1" ht="17.25" customHeight="1" spans="1:16">
      <c r="A19" s="24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38"/>
    </row>
    <row r="20" s="8" customFormat="1" ht="17.25" customHeight="1" spans="1:16">
      <c r="A20" s="22" t="s">
        <v>18</v>
      </c>
      <c r="B20" s="23"/>
      <c r="C20" s="23">
        <v>5210</v>
      </c>
      <c r="D20" s="23">
        <v>3230</v>
      </c>
      <c r="E20" s="23">
        <v>2740</v>
      </c>
      <c r="F20" s="23">
        <v>4510</v>
      </c>
      <c r="G20" s="23">
        <v>1040</v>
      </c>
      <c r="H20" s="23"/>
      <c r="I20" s="23"/>
      <c r="J20" s="23"/>
      <c r="K20" s="23"/>
      <c r="L20" s="23"/>
      <c r="M20" s="23"/>
      <c r="N20" s="23"/>
      <c r="O20" s="23">
        <f>IFERROR(AVERAGE(PaidOut[[#This Row],[Column3]:[Column14]]),"")</f>
        <v>3346</v>
      </c>
      <c r="P20" s="37"/>
    </row>
    <row r="21" s="8" customFormat="1" ht="17.25" customHeight="1" spans="1:16">
      <c r="A21" s="22" t="s">
        <v>19</v>
      </c>
      <c r="B21" s="23"/>
      <c r="C21" s="23">
        <v>105720</v>
      </c>
      <c r="D21" s="23">
        <v>145140</v>
      </c>
      <c r="E21" s="23">
        <v>105610</v>
      </c>
      <c r="F21" s="23">
        <v>131700</v>
      </c>
      <c r="G21" s="23">
        <v>124780</v>
      </c>
      <c r="H21" s="23"/>
      <c r="I21" s="23"/>
      <c r="J21" s="23"/>
      <c r="K21" s="23"/>
      <c r="L21" s="23"/>
      <c r="M21" s="23"/>
      <c r="N21" s="23"/>
      <c r="O21" s="23">
        <f>IFERROR(AVERAGE(PaidOut[[#This Row],[Column3]:[Column14]]),"")</f>
        <v>122590</v>
      </c>
      <c r="P21" s="37"/>
    </row>
    <row r="22" s="8" customFormat="1" ht="17.25" customHeight="1" spans="1:16">
      <c r="A22" s="22" t="s">
        <v>20</v>
      </c>
      <c r="B22" s="23"/>
      <c r="C22" s="23">
        <v>2500</v>
      </c>
      <c r="D22" s="23">
        <v>4280</v>
      </c>
      <c r="E22" s="23">
        <v>1650</v>
      </c>
      <c r="F22" s="23">
        <v>11680</v>
      </c>
      <c r="G22" s="23">
        <v>3450</v>
      </c>
      <c r="H22" s="23"/>
      <c r="I22" s="23"/>
      <c r="J22" s="23"/>
      <c r="K22" s="23"/>
      <c r="L22" s="23"/>
      <c r="M22" s="23"/>
      <c r="N22" s="23"/>
      <c r="O22" s="23">
        <f>IFERROR(AVERAGE(PaidOut[[#This Row],[Column3]:[Column14]]),"")</f>
        <v>4712</v>
      </c>
      <c r="P22" s="37"/>
    </row>
    <row r="23" s="8" customFormat="1" ht="17.25" customHeight="1" spans="1:16">
      <c r="A23" s="22" t="s">
        <v>21</v>
      </c>
      <c r="B23" s="23"/>
      <c r="C23" s="23">
        <v>0</v>
      </c>
      <c r="D23" s="23">
        <v>22000</v>
      </c>
      <c r="E23" s="23">
        <v>1630</v>
      </c>
      <c r="F23" s="23">
        <v>670</v>
      </c>
      <c r="G23" s="23">
        <v>0</v>
      </c>
      <c r="H23" s="23"/>
      <c r="I23" s="23"/>
      <c r="J23" s="23"/>
      <c r="K23" s="23"/>
      <c r="L23" s="23"/>
      <c r="M23" s="23"/>
      <c r="N23" s="23"/>
      <c r="O23" s="23">
        <f>IFERROR(AVERAGE(PaidOut[[#This Row],[Column3]:[Column14]]),"")</f>
        <v>4860</v>
      </c>
      <c r="P23" s="37"/>
    </row>
    <row r="24" s="8" customFormat="1" ht="17.25" customHeight="1" spans="1:16">
      <c r="A24" s="22" t="s">
        <v>22</v>
      </c>
      <c r="B24" s="23"/>
      <c r="C24" s="23">
        <v>11000</v>
      </c>
      <c r="D24" s="23">
        <v>6250</v>
      </c>
      <c r="E24" s="23">
        <v>13560</v>
      </c>
      <c r="F24" s="23">
        <v>0</v>
      </c>
      <c r="G24" s="23">
        <v>25600</v>
      </c>
      <c r="H24" s="23"/>
      <c r="I24" s="23"/>
      <c r="J24" s="23"/>
      <c r="K24" s="23"/>
      <c r="L24" s="23"/>
      <c r="M24" s="23"/>
      <c r="N24" s="23"/>
      <c r="O24" s="23">
        <f>IFERROR(AVERAGE(PaidOut[[#This Row],[Column3]:[Column14]]),"")</f>
        <v>11282</v>
      </c>
      <c r="P24" s="37"/>
    </row>
    <row r="25" s="8" customFormat="1" ht="17.25" customHeight="1" spans="1:16">
      <c r="A25" s="22" t="s">
        <v>23</v>
      </c>
      <c r="B25" s="23"/>
      <c r="C25" s="23">
        <v>35000</v>
      </c>
      <c r="D25" s="23">
        <v>35000</v>
      </c>
      <c r="E25" s="23">
        <v>35000</v>
      </c>
      <c r="F25" s="23">
        <v>35000</v>
      </c>
      <c r="G25" s="23">
        <v>35000</v>
      </c>
      <c r="H25" s="23"/>
      <c r="I25" s="23"/>
      <c r="J25" s="23"/>
      <c r="K25" s="23"/>
      <c r="L25" s="23"/>
      <c r="M25" s="23"/>
      <c r="N25" s="23"/>
      <c r="O25" s="23">
        <f>IFERROR(AVERAGE(PaidOut[[#This Row],[Column3]:[Column14]]),"")</f>
        <v>35000</v>
      </c>
      <c r="P25" s="37"/>
    </row>
    <row r="26" s="8" customFormat="1" ht="17.25" customHeight="1" spans="1:16">
      <c r="A26" s="22" t="s">
        <v>24</v>
      </c>
      <c r="B26" s="23"/>
      <c r="C26" s="23">
        <v>2850</v>
      </c>
      <c r="D26" s="23">
        <v>3180</v>
      </c>
      <c r="E26" s="23">
        <v>1510</v>
      </c>
      <c r="F26" s="23">
        <v>1340</v>
      </c>
      <c r="G26" s="23">
        <v>2280</v>
      </c>
      <c r="H26" s="23"/>
      <c r="I26" s="23"/>
      <c r="J26" s="23"/>
      <c r="K26" s="23"/>
      <c r="L26" s="23"/>
      <c r="M26" s="23"/>
      <c r="N26" s="23"/>
      <c r="O26" s="23">
        <f>IFERROR(AVERAGE(PaidOut[[#This Row],[Column3]:[Column14]]),"")</f>
        <v>2232</v>
      </c>
      <c r="P26" s="37"/>
    </row>
    <row r="27" s="8" customFormat="1" ht="17.25" customHeight="1" spans="1:16">
      <c r="A27" s="22" t="s">
        <v>25</v>
      </c>
      <c r="B27" s="23"/>
      <c r="C27" s="23">
        <v>1230</v>
      </c>
      <c r="D27" s="23">
        <v>2340</v>
      </c>
      <c r="E27" s="23">
        <v>1230</v>
      </c>
      <c r="F27" s="23">
        <v>2340</v>
      </c>
      <c r="G27" s="23">
        <v>1230</v>
      </c>
      <c r="H27" s="23"/>
      <c r="I27" s="23"/>
      <c r="J27" s="23"/>
      <c r="K27" s="23"/>
      <c r="L27" s="23"/>
      <c r="M27" s="23"/>
      <c r="N27" s="23"/>
      <c r="O27" s="23">
        <f>IFERROR(AVERAGE(PaidOut[[#This Row],[Column3]:[Column14]]),"")</f>
        <v>1674</v>
      </c>
      <c r="P27" s="37"/>
    </row>
    <row r="28" s="8" customFormat="1" ht="17.25" customHeight="1" spans="1:16">
      <c r="A28" s="22" t="s">
        <v>26</v>
      </c>
      <c r="B28" s="23"/>
      <c r="C28" s="23">
        <v>40000</v>
      </c>
      <c r="D28" s="23">
        <v>40000</v>
      </c>
      <c r="E28" s="23">
        <v>40000</v>
      </c>
      <c r="F28" s="23">
        <v>40000</v>
      </c>
      <c r="G28" s="23">
        <v>40000</v>
      </c>
      <c r="H28" s="23"/>
      <c r="I28" s="23"/>
      <c r="J28" s="23"/>
      <c r="K28" s="23"/>
      <c r="L28" s="23"/>
      <c r="M28" s="23"/>
      <c r="N28" s="23"/>
      <c r="O28" s="23">
        <f>IFERROR(AVERAGE(PaidOut[[#This Row],[Column3]:[Column14]]),"")</f>
        <v>40000</v>
      </c>
      <c r="P28" s="37"/>
    </row>
    <row r="29" s="8" customFormat="1" ht="17.25" customHeight="1" spans="1:16">
      <c r="A29" s="22" t="s">
        <v>27</v>
      </c>
      <c r="B29" s="23"/>
      <c r="C29" s="23">
        <v>6790</v>
      </c>
      <c r="D29" s="23">
        <v>7000</v>
      </c>
      <c r="E29" s="23">
        <v>6790</v>
      </c>
      <c r="F29" s="23">
        <v>6500</v>
      </c>
      <c r="G29" s="23">
        <v>6790</v>
      </c>
      <c r="H29" s="23"/>
      <c r="I29" s="23"/>
      <c r="J29" s="23"/>
      <c r="K29" s="23"/>
      <c r="L29" s="23"/>
      <c r="M29" s="23"/>
      <c r="N29" s="23"/>
      <c r="O29" s="23">
        <f>IFERROR(AVERAGE(PaidOut[[#This Row],[Column3]:[Column14]]),"")</f>
        <v>6774</v>
      </c>
      <c r="P29" s="37"/>
    </row>
    <row r="30" s="8" customFormat="1" ht="17.25" customHeight="1" spans="1:16">
      <c r="A30" s="22" t="s">
        <v>28</v>
      </c>
      <c r="B30" s="23"/>
      <c r="C30" s="23">
        <v>4000</v>
      </c>
      <c r="D30" s="23">
        <v>3500</v>
      </c>
      <c r="E30" s="23">
        <v>4000</v>
      </c>
      <c r="F30" s="23">
        <v>3000</v>
      </c>
      <c r="G30" s="23">
        <v>4000</v>
      </c>
      <c r="H30" s="23"/>
      <c r="I30" s="23"/>
      <c r="J30" s="23"/>
      <c r="K30" s="23"/>
      <c r="L30" s="23"/>
      <c r="M30" s="23"/>
      <c r="N30" s="23"/>
      <c r="O30" s="23">
        <f>IFERROR(AVERAGE(PaidOut[[#This Row],[Column3]:[Column14]]),"")</f>
        <v>3700</v>
      </c>
      <c r="P30" s="37"/>
    </row>
    <row r="31" s="8" customFormat="1" ht="17.25" customHeight="1" spans="1:16">
      <c r="A31" s="22" t="s">
        <v>29</v>
      </c>
      <c r="B31" s="23"/>
      <c r="C31" s="23">
        <v>3000</v>
      </c>
      <c r="D31" s="23">
        <v>3000</v>
      </c>
      <c r="E31" s="23">
        <v>3000</v>
      </c>
      <c r="F31" s="23">
        <v>3000</v>
      </c>
      <c r="G31" s="23">
        <v>3000</v>
      </c>
      <c r="H31" s="23"/>
      <c r="I31" s="23"/>
      <c r="J31" s="23"/>
      <c r="K31" s="23"/>
      <c r="L31" s="23"/>
      <c r="M31" s="23"/>
      <c r="N31" s="23"/>
      <c r="O31" s="23">
        <f>IFERROR(AVERAGE(PaidOut[[#This Row],[Column3]:[Column14]]),"")</f>
        <v>3000</v>
      </c>
      <c r="P31" s="37"/>
    </row>
    <row r="32" s="8" customFormat="1" ht="17.25" customHeight="1" spans="1:16">
      <c r="A32" s="22" t="s">
        <v>30</v>
      </c>
      <c r="B32" s="23"/>
      <c r="C32" s="23">
        <v>700</v>
      </c>
      <c r="D32" s="23">
        <v>700</v>
      </c>
      <c r="E32" s="23">
        <v>700</v>
      </c>
      <c r="F32" s="23">
        <v>700</v>
      </c>
      <c r="G32" s="23">
        <v>700</v>
      </c>
      <c r="H32" s="23"/>
      <c r="I32" s="23"/>
      <c r="J32" s="23"/>
      <c r="K32" s="23"/>
      <c r="L32" s="23"/>
      <c r="M32" s="23"/>
      <c r="N32" s="23"/>
      <c r="O32" s="23">
        <f>IFERROR(AVERAGE(PaidOut[[#This Row],[Column3]:[Column14]]),"")</f>
        <v>700</v>
      </c>
      <c r="P32" s="37"/>
    </row>
    <row r="33" s="8" customFormat="1" ht="17.25" customHeight="1" spans="1:16">
      <c r="A33" s="22" t="s">
        <v>31</v>
      </c>
      <c r="B33" s="23"/>
      <c r="C33" s="23">
        <f>SUBTOTAL(109,PaidOut[Column3])</f>
        <v>218000</v>
      </c>
      <c r="D33" s="23">
        <f>SUBTOTAL(109,PaidOut[Column4])</f>
        <v>275620</v>
      </c>
      <c r="E33" s="23">
        <f>SUBTOTAL(109,PaidOut[Column5])</f>
        <v>217420</v>
      </c>
      <c r="F33" s="23">
        <f>SUBTOTAL(109,PaidOut[Column6])</f>
        <v>240440</v>
      </c>
      <c r="G33" s="23">
        <f>SUBTOTAL(109,PaidOut[Column7])</f>
        <v>247870</v>
      </c>
      <c r="H33" s="23">
        <f>SUBTOTAL(109,PaidOut[Column8])</f>
        <v>0</v>
      </c>
      <c r="I33" s="23">
        <f>SUBTOTAL(109,PaidOut[Column9])</f>
        <v>0</v>
      </c>
      <c r="J33" s="23">
        <f>SUBTOTAL(109,PaidOut[Column10])</f>
        <v>0</v>
      </c>
      <c r="K33" s="23">
        <f>SUBTOTAL(109,PaidOut[Column11])</f>
        <v>0</v>
      </c>
      <c r="L33" s="23">
        <f>SUBTOTAL(109,PaidOut[Column12])</f>
        <v>0</v>
      </c>
      <c r="M33" s="23">
        <f>SUBTOTAL(109,PaidOut[Column13])</f>
        <v>0</v>
      </c>
      <c r="N33" s="23">
        <f>SUBTOTAL(109,PaidOut[Column14])</f>
        <v>0</v>
      </c>
      <c r="O33" s="23">
        <f>IFERROR(AVERAGE(PaidOut[[#Totals],[Column3]:[Column14]]),"")</f>
        <v>99945.8333333333</v>
      </c>
      <c r="P33" s="37"/>
    </row>
    <row r="34" s="8" customFormat="1" ht="17.25" customHeight="1" spans="1:1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="8" customFormat="1" ht="17.25" customHeight="1" spans="1:16">
      <c r="A35" s="24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="8" customFormat="1" ht="17.25" customHeight="1" spans="1:16">
      <c r="A36" s="22" t="s">
        <v>33</v>
      </c>
      <c r="B36" s="23">
        <v>20000</v>
      </c>
      <c r="C36" s="23">
        <v>25000</v>
      </c>
      <c r="D36" s="23">
        <v>22570</v>
      </c>
      <c r="E36" s="23">
        <v>23870</v>
      </c>
      <c r="F36" s="23">
        <v>26640</v>
      </c>
      <c r="G36" s="23">
        <v>23240</v>
      </c>
      <c r="H36" s="23"/>
      <c r="I36" s="23"/>
      <c r="J36" s="23"/>
      <c r="K36" s="23"/>
      <c r="L36" s="23"/>
      <c r="M36" s="23"/>
      <c r="N36" s="23"/>
      <c r="O36" s="23">
        <f>IFERROR(AVERAGE(EssencialOperatingData[[#This Row],[Column2]:[Column14]]),"")</f>
        <v>23553.3333333333</v>
      </c>
      <c r="P36" s="37"/>
    </row>
    <row r="37" s="8" customFormat="1" ht="17.25" customHeight="1" spans="1:16">
      <c r="A37" s="22" t="s">
        <v>34</v>
      </c>
      <c r="B37" s="23">
        <v>15000</v>
      </c>
      <c r="C37" s="23">
        <v>5000</v>
      </c>
      <c r="D37" s="23">
        <v>8860</v>
      </c>
      <c r="E37" s="23">
        <v>10350</v>
      </c>
      <c r="F37" s="23">
        <v>17750</v>
      </c>
      <c r="G37" s="23">
        <v>8390</v>
      </c>
      <c r="H37" s="23"/>
      <c r="I37" s="23"/>
      <c r="J37" s="23"/>
      <c r="K37" s="23"/>
      <c r="L37" s="23"/>
      <c r="M37" s="23"/>
      <c r="N37" s="23"/>
      <c r="O37" s="23">
        <f>IFERROR(AVERAGE(EssencialOperatingData[[#This Row],[Column2]:[Column14]]),"")</f>
        <v>10891.6666666667</v>
      </c>
      <c r="P37" s="37"/>
    </row>
    <row r="38" s="8" customFormat="1" ht="17.25" customHeight="1" spans="1:16">
      <c r="A38" s="22" t="s">
        <v>35</v>
      </c>
      <c r="B38" s="23">
        <v>3000</v>
      </c>
      <c r="C38" s="23">
        <v>2000</v>
      </c>
      <c r="D38" s="23">
        <v>2250</v>
      </c>
      <c r="E38" s="23">
        <v>2690</v>
      </c>
      <c r="F38" s="23">
        <v>4480</v>
      </c>
      <c r="G38" s="23">
        <v>3590</v>
      </c>
      <c r="H38" s="23"/>
      <c r="I38" s="23"/>
      <c r="J38" s="23"/>
      <c r="K38" s="23"/>
      <c r="L38" s="23"/>
      <c r="M38" s="23"/>
      <c r="N38" s="23"/>
      <c r="O38" s="23">
        <f>IFERROR(AVERAGE(EssencialOperatingData[[#This Row],[Column2]:[Column14]]),"")</f>
        <v>3001.66666666667</v>
      </c>
      <c r="P38" s="37"/>
    </row>
    <row r="39" s="8" customFormat="1" ht="17.25" customHeight="1" spans="1:16">
      <c r="A39" s="22" t="s">
        <v>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 t="str">
        <f>IFERROR(AVERAGE(EssencialOperatingData[[#This Row],[Column2]:[Column14]]),"")</f>
        <v/>
      </c>
      <c r="P39" s="37"/>
    </row>
    <row r="40" s="8" customFormat="1" ht="17.25" customHeight="1" spans="1:16">
      <c r="A40" s="22" t="s">
        <v>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 t="str">
        <f>IFERROR(AVERAGE(EssencialOperatingData[[#This Row],[Column2]:[Column14]]),"")</f>
        <v/>
      </c>
      <c r="P40" s="37"/>
    </row>
    <row r="41" s="8" customFormat="1" ht="17.25" customHeight="1" spans="1:16">
      <c r="A41" s="22" t="s">
        <v>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 t="str">
        <f>IFERROR(AVERAGE(EssencialOperatingData[[#This Row],[Column2]:[Column14]]),"")</f>
        <v/>
      </c>
      <c r="P41" s="37"/>
    </row>
  </sheetData>
  <mergeCells count="4">
    <mergeCell ref="A8:P8"/>
    <mergeCell ref="A12:P12"/>
    <mergeCell ref="A18:P18"/>
    <mergeCell ref="A34:P34"/>
  </mergeCells>
  <printOptions horizontalCentered="1"/>
  <pageMargins left="0.25" right="0.25" top="0.5" bottom="0.5" header="0.3" footer="0.3"/>
  <pageSetup paperSize="1" scale="62" orientation="landscape"/>
  <headerFooter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25:L30"/>
  <sheetViews>
    <sheetView showGridLines="0" tabSelected="1" zoomScale="87" zoomScaleNormal="87" workbookViewId="0">
      <selection activeCell="P40" sqref="P40"/>
    </sheetView>
  </sheetViews>
  <sheetFormatPr defaultColWidth="9" defaultRowHeight="12.75"/>
  <cols>
    <col min="1" max="1" width="2.57142857142857" style="1" customWidth="1"/>
    <col min="2" max="11" width="9.71428571428571" style="1" customWidth="1"/>
    <col min="12" max="12" width="2.71428571428571" style="1" customWidth="1"/>
    <col min="13" max="13" width="6.57142857142857" style="1" customWidth="1"/>
    <col min="14" max="16384" width="9.14285714285714" style="1"/>
  </cols>
  <sheetData>
    <row r="25" spans="11:12">
      <c r="K25" s="3"/>
      <c r="L25" s="3"/>
    </row>
    <row r="26" ht="19.5" customHeight="1" spans="10:11">
      <c r="J26" s="4" t="s">
        <v>39</v>
      </c>
      <c r="K26" s="5">
        <v>6</v>
      </c>
    </row>
    <row r="27" ht="18.75" customHeight="1" spans="3:10">
      <c r="C27" s="2" t="s">
        <v>40</v>
      </c>
      <c r="D27" s="3"/>
      <c r="E27" s="3"/>
      <c r="F27" s="3"/>
      <c r="G27" s="3"/>
      <c r="H27" s="3"/>
      <c r="I27" s="3"/>
      <c r="J27" s="3"/>
    </row>
    <row r="30" spans="1:9">
      <c r="A30" s="3"/>
      <c r="I30" s="6"/>
    </row>
  </sheetData>
  <printOptions horizontalCentered="1"/>
  <pageMargins left="0.699305555555556" right="0.699305555555556" top="0.75" bottom="0.75" header="0.3" footer="0.3"/>
  <pageSetup paperSize="1" scale="9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Scroll Bar 1" r:id="rId3">
              <controlPr print="0" defaultSize="0">
                <anchor moveWithCells="1">
                  <from>
                    <xdr:col>2</xdr:col>
                    <xdr:colOff>133350</xdr:colOff>
                    <xdr:row>25</xdr:row>
                    <xdr:rowOff>57150</xdr:rowOff>
                  </from>
                  <to>
                    <xdr:col>8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 8 5 6 6 2 6 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> C o m p l e t e < / E d i t o r i a l S t a t u s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 2 0 1 2 - 0 9 - 1 9 T 1 1 : 1 7 : 0 0 + 0 0 : 0 0 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 4 9 4 0 4 3 < / V a l u e > < / P u b l i s h S t a t u s L o o k u p > < A P A u t h o r   x m l n s = " 9 0 5 c 3 8 8 8 - 6 2 8 5 - 4 5 d 0 - b d 7 6 - 6 0 a 9 a c 2 d 7 3 8 c " > < U s e r I n f o > < D i s p l a y N a m e > R E D M O N D \ m a t t h o s < / D i s p l a y N a m e > < A c c o u n t I d > 5 9 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> T P < / A s s e t T y p e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 t r u e 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 f a l s e 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 S p r e a d s h e e t   T e m p l a t e 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 T P 1 0 3 4 5 8 0 7 1 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45668261-D5CD-49C3-914E-FF5912B4E0EE}">
  <ds:schemaRefs/>
</ds:datastoreItem>
</file>

<file path=customXml/itemProps2.xml><?xml version="1.0" encoding="utf-8"?>
<ds:datastoreItem xmlns:ds="http://schemas.openxmlformats.org/officeDocument/2006/customXml" ds:itemID="{60323040-7464-4273-8E1A-5630A6A4A10B}">
  <ds:schemaRefs/>
</ds:datastoreItem>
</file>

<file path=customXml/itemProps3.xml><?xml version="1.0" encoding="utf-8"?>
<ds:datastoreItem xmlns:ds="http://schemas.openxmlformats.org/officeDocument/2006/customXml" ds:itemID="{6A8C9906-EAE8-4E30-A90F-EEE7114BBB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十二个月的现金流</vt:lpstr>
      <vt:lpstr>现金流统计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2012-09-17T22:24:00Z</dcterms:created>
  <dcterms:modified xsi:type="dcterms:W3CDTF">2018-10-30T07:30:15Z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  <property fmtid="{D5CDD505-2E9C-101B-9397-08002B2CF9AE}" pid="12" name="KSOProductBuildVer">
    <vt:lpwstr>2052-10.1.0.6876</vt:lpwstr>
  </property>
</Properties>
</file>