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/>
  <xr:revisionPtr revIDLastSave="0" documentId="13_ncr:11_{C3951AF6-37CF-4C8D-8DFD-84975D67EC4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员工信息" sheetId="1" r:id="rId1"/>
    <sheet name="工资计算器" sheetId="2" r:id="rId2"/>
    <sheet name="个人工资单" sheetId="3" r:id="rId3"/>
  </sheets>
  <definedNames>
    <definedName name="_xlnm.Print_Area" localSheetId="1">工资计算器!$A$1:$K$7</definedName>
    <definedName name="_xlnm.Print_Area" localSheetId="0">员工信息!$A$1:$M$7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F47" i="3" l="1"/>
  <c r="H47" i="3" s="1"/>
  <c r="F46" i="3"/>
  <c r="F43" i="3"/>
  <c r="F42" i="3"/>
  <c r="F34" i="3"/>
  <c r="F33" i="3"/>
  <c r="F30" i="3"/>
  <c r="F29" i="3"/>
  <c r="H48" i="3"/>
  <c r="H46" i="3"/>
  <c r="F45" i="3" s="1"/>
  <c r="H45" i="3"/>
  <c r="H44" i="3"/>
  <c r="H43" i="3"/>
  <c r="H42" i="3"/>
  <c r="H32" i="3"/>
  <c r="H31" i="3"/>
  <c r="H30" i="3"/>
  <c r="H29" i="3"/>
  <c r="D46" i="3"/>
  <c r="D45" i="3"/>
  <c r="D43" i="3"/>
  <c r="D42" i="3"/>
  <c r="D33" i="3"/>
  <c r="D30" i="3"/>
  <c r="D29" i="3"/>
  <c r="H20" i="3"/>
  <c r="H19" i="3"/>
  <c r="H18" i="3"/>
  <c r="H17" i="3"/>
  <c r="F22" i="3"/>
  <c r="F21" i="3"/>
  <c r="F18" i="3"/>
  <c r="F17" i="3"/>
  <c r="D21" i="3"/>
  <c r="D18" i="3"/>
  <c r="D17" i="3"/>
  <c r="H8" i="3"/>
  <c r="H7" i="3"/>
  <c r="H6" i="3"/>
  <c r="H5" i="3"/>
  <c r="F10" i="3"/>
  <c r="F9" i="3"/>
  <c r="F6" i="3"/>
  <c r="F5" i="3"/>
  <c r="D9" i="3"/>
  <c r="D6" i="3"/>
  <c r="D5" i="3"/>
  <c r="F40" i="3"/>
  <c r="F27" i="3"/>
  <c r="F15" i="3"/>
  <c r="F3" i="3"/>
  <c r="H6" i="2"/>
  <c r="H21" i="3" s="1"/>
  <c r="H7" i="2"/>
  <c r="H33" i="3" s="1"/>
  <c r="H5" i="2"/>
  <c r="B6" i="2"/>
  <c r="B7" i="2"/>
  <c r="B5" i="2"/>
  <c r="M6" i="1"/>
  <c r="M7" i="1"/>
  <c r="M5" i="1"/>
  <c r="J6" i="1"/>
  <c r="J7" i="1"/>
  <c r="J5" i="1"/>
  <c r="D44" i="3" l="1"/>
  <c r="F44" i="3"/>
  <c r="F20" i="3"/>
  <c r="F19" i="3"/>
  <c r="D20" i="3"/>
  <c r="D19" i="3"/>
  <c r="D32" i="3"/>
  <c r="F32" i="3"/>
  <c r="D31" i="3"/>
  <c r="F31" i="3"/>
  <c r="I5" i="2"/>
  <c r="H10" i="3" s="1"/>
  <c r="I6" i="2"/>
  <c r="H22" i="3" s="1"/>
  <c r="H9" i="3"/>
  <c r="I7" i="2"/>
  <c r="K7" i="2" s="1"/>
  <c r="H35" i="3" s="1"/>
  <c r="D40" i="3"/>
  <c r="C39" i="3"/>
  <c r="D27" i="3"/>
  <c r="C26" i="3"/>
  <c r="D15" i="3"/>
  <c r="C14" i="3"/>
  <c r="K6" i="2" l="1"/>
  <c r="H23" i="3" s="1"/>
  <c r="K5" i="2"/>
  <c r="H11" i="3" s="1"/>
  <c r="H34" i="3"/>
  <c r="F7" i="3"/>
  <c r="D8" i="3"/>
  <c r="F8" i="3"/>
  <c r="D7" i="3"/>
  <c r="D3" i="3"/>
  <c r="C2" i="3"/>
  <c r="D47" i="3" l="1"/>
  <c r="A3" i="2"/>
  <c r="D34" i="3" l="1"/>
  <c r="D22" i="3"/>
  <c r="D10" i="3"/>
</calcChain>
</file>

<file path=xl/sharedStrings.xml><?xml version="1.0" encoding="utf-8"?>
<sst xmlns="http://schemas.openxmlformats.org/spreadsheetml/2006/main" count="141" uniqueCount="37">
  <si>
    <t>员工信息</t>
  </si>
  <si>
    <t>[公司名称]</t>
  </si>
  <si>
    <t>员工 ID</t>
  </si>
  <si>
    <t>员工姓名</t>
  </si>
  <si>
    <t>卢宁</t>
  </si>
  <si>
    <t>柯攸</t>
  </si>
  <si>
    <t>康霓</t>
  </si>
  <si>
    <t>每小时工资</t>
  </si>
  <si>
    <t>税务状况</t>
  </si>
  <si>
    <t>联邦津贴（来自 W-4）</t>
  </si>
  <si>
    <t>州税</t>
  </si>
  <si>
    <t>社会保险税</t>
  </si>
  <si>
    <t>医疗保险税</t>
  </si>
  <si>
    <t>总扣缴税费</t>
  </si>
  <si>
    <t>保险扣除额</t>
  </si>
  <si>
    <t>其他常规扣除额</t>
  </si>
  <si>
    <t>工资计算器</t>
  </si>
  <si>
    <t>正常工作时数</t>
  </si>
  <si>
    <t>休假小时数</t>
  </si>
  <si>
    <t>病假小时数</t>
  </si>
  <si>
    <t>加班小时数</t>
  </si>
  <si>
    <t>加班工资率</t>
  </si>
  <si>
    <t>工资总额</t>
  </si>
  <si>
    <t xml:space="preserve">税费和扣除额 </t>
  </si>
  <si>
    <t>截止日期：</t>
  </si>
  <si>
    <t>其他扣除额</t>
  </si>
  <si>
    <t>实发工资</t>
  </si>
  <si>
    <t>每小时工资率</t>
  </si>
  <si>
    <t xml:space="preserve">医疗保险税 </t>
  </si>
  <si>
    <t xml:space="preserve">总税费和常规扣除额 </t>
  </si>
  <si>
    <t xml:space="preserve">联邦所得税 </t>
  </si>
  <si>
    <t xml:space="preserve">州税 </t>
  </si>
  <si>
    <t>工作小时数</t>
  </si>
  <si>
    <t xml:space="preserve">总税费和扣除额 </t>
  </si>
  <si>
    <t>联邦津贴
（来自 W-4）</t>
    <phoneticPr fontId="1" type="noConversion"/>
  </si>
  <si>
    <t>联邦所得税
（基于联邦津贴）</t>
    <phoneticPr fontId="1" type="noConversion"/>
  </si>
  <si>
    <t>总常规扣除额
（不含税费）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</si>
</sst>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&quot;¥&quot;* #,##0.00_ ;_ &quot;¥&quot;* \-#,##0.00_ ;_ &quot;¥&quot;* &quot;-&quot;??_ ;_ @_ "/>
    <numFmt numFmtId="176" formatCode="0.00_ "/>
  </numFmts>
  <fonts count="15">
    <font>
      <sz val="8"/>
      <name val="Microsoft YaHei UI"/>
      <family val="2"/>
      <charset val="134"/>
    </font>
    <font>
      <sz val="8"/>
      <name val="Arial"/>
      <family val="2"/>
    </font>
    <font>
      <b/>
      <sz val="8"/>
      <name val="宋体"/>
      <family val="2"/>
      <scheme val="minor"/>
    </font>
    <font>
      <sz val="8"/>
      <name val="Microsoft YaHei UI"/>
      <family val="2"/>
      <charset val="134"/>
    </font>
    <font>
      <sz val="22"/>
      <color theme="8" tint="-0.499984740745262"/>
      <name val="Microsoft YaHei UI"/>
      <family val="2"/>
      <charset val="134"/>
    </font>
    <font>
      <sz val="12"/>
      <color theme="8" tint="-0.499984740745262"/>
      <name val="Microsoft YaHei UI"/>
      <family val="2"/>
      <charset val="134"/>
    </font>
    <font>
      <sz val="10"/>
      <name val="Microsoft YaHei UI"/>
      <family val="2"/>
      <charset val="134"/>
    </font>
    <font>
      <sz val="22"/>
      <name val="Microsoft YaHei UI"/>
      <family val="2"/>
      <charset val="134"/>
    </font>
    <font>
      <sz val="8"/>
      <color theme="8" tint="-0.499984740745262"/>
      <name val="Microsoft YaHei UI"/>
      <family val="2"/>
      <charset val="134"/>
    </font>
    <font>
      <b/>
      <sz val="10"/>
      <name val="Microsoft YaHei UI"/>
      <family val="2"/>
      <charset val="134"/>
    </font>
    <font>
      <sz val="9"/>
      <name val="Microsoft YaHei UI"/>
      <family val="2"/>
      <charset val="134"/>
    </font>
    <font>
      <sz val="14"/>
      <name val="Microsoft YaHei UI"/>
      <family val="2"/>
      <charset val="134"/>
    </font>
    <font>
      <b/>
      <sz val="8"/>
      <color theme="8" tint="-0.499984740745262"/>
      <name val="Microsoft YaHei UI"/>
      <family val="2"/>
      <charset val="134"/>
    </font>
    <font>
      <b/>
      <sz val="9"/>
      <name val="Microsoft YaHei UI"/>
      <family val="2"/>
      <charset val="134"/>
    </font>
    <font>
      <b/>
      <sz val="8"/>
      <name val="Microsoft YaHei U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6" tint="0.39994506668294322"/>
        <bgColor indexed="65"/>
      </patternFill>
    </fill>
  </fills>
  <borders count="15">
    <border>
      <left/>
      <right/>
      <top/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/>
      <right/>
      <top style="double">
        <color theme="8"/>
      </top>
      <bottom style="thin">
        <color theme="8"/>
      </bottom>
      <diagonal/>
    </border>
  </borders>
  <cellStyleXfs count="6">
    <xf numFmtId="0" fontId="0" fillId="0" borderId="0">
      <alignment vertical="center"/>
    </xf>
    <xf numFmtId="44" fontId="6" fillId="0" borderId="0" applyFill="0" applyBorder="0" applyAlignment="0" applyProtection="0"/>
    <xf numFmtId="0" fontId="5" fillId="0" borderId="1">
      <alignment horizontal="left" vertical="center"/>
    </xf>
    <xf numFmtId="0" fontId="2" fillId="3" borderId="2">
      <alignment horizontal="right" vertical="center"/>
    </xf>
    <xf numFmtId="0" fontId="4" fillId="0" borderId="0">
      <alignment horizontal="left"/>
    </xf>
    <xf numFmtId="0" fontId="6" fillId="4" borderId="4" applyAlignment="0">
      <alignment horizontal="left" vertical="center" indent="1"/>
    </xf>
  </cellStyleXfs>
  <cellXfs count="73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0" fillId="0" borderId="0" xfId="0" applyFont="1">
      <alignment vertical="center"/>
    </xf>
    <xf numFmtId="0" fontId="7" fillId="0" borderId="0" xfId="0" applyFont="1" applyFill="1" applyAlignment="1">
      <alignment horizontal="left"/>
    </xf>
    <xf numFmtId="0" fontId="8" fillId="0" borderId="0" xfId="0" applyNumberFormat="1" applyFont="1" applyAlignment="1">
      <alignment horizontal="left" wrapText="1"/>
    </xf>
    <xf numFmtId="0" fontId="8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>
      <alignment vertical="center"/>
    </xf>
    <xf numFmtId="0" fontId="8" fillId="0" borderId="0" xfId="0" applyFont="1" applyFill="1" applyBorder="1" applyAlignment="1"/>
    <xf numFmtId="14" fontId="8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9" xfId="0" applyFont="1" applyFill="1" applyBorder="1">
      <alignment vertical="center"/>
    </xf>
    <xf numFmtId="0" fontId="8" fillId="4" borderId="3" xfId="5" applyFont="1" applyBorder="1" applyAlignment="1">
      <alignment horizontal="left" vertical="center" indent="1"/>
    </xf>
    <xf numFmtId="14" fontId="12" fillId="4" borderId="4" xfId="5" applyNumberFormat="1" applyFont="1" applyBorder="1" applyAlignment="1">
      <alignment horizontal="right" vertical="center" indent="1"/>
    </xf>
    <xf numFmtId="0" fontId="8" fillId="4" borderId="4" xfId="5" applyFont="1" applyBorder="1" applyAlignment="1">
      <alignment horizontal="left" vertical="center" indent="1"/>
    </xf>
    <xf numFmtId="0" fontId="12" fillId="4" borderId="4" xfId="5" applyFont="1" applyBorder="1" applyAlignment="1">
      <alignment horizontal="left" vertical="center" wrapText="1" indent="1"/>
    </xf>
    <xf numFmtId="0" fontId="12" fillId="4" borderId="5" xfId="5" applyFont="1" applyBorder="1" applyAlignment="1">
      <alignment horizontal="right" vertical="center"/>
    </xf>
    <xf numFmtId="0" fontId="13" fillId="0" borderId="10" xfId="0" applyFont="1" applyFill="1" applyBorder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1"/>
    </xf>
    <xf numFmtId="0" fontId="12" fillId="0" borderId="4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4" fontId="12" fillId="0" borderId="4" xfId="1" applyFont="1" applyFill="1" applyBorder="1" applyAlignment="1">
      <alignment horizontal="left" vertical="center" indent="1"/>
    </xf>
    <xf numFmtId="44" fontId="12" fillId="0" borderId="5" xfId="1" applyFont="1" applyFill="1" applyBorder="1" applyAlignment="1">
      <alignment horizontal="left" vertical="center" indent="1"/>
    </xf>
    <xf numFmtId="0" fontId="13" fillId="0" borderId="1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 indent="1"/>
    </xf>
    <xf numFmtId="44" fontId="12" fillId="2" borderId="5" xfId="1" applyFont="1" applyFill="1" applyBorder="1" applyAlignment="1">
      <alignment horizontal="left" vertical="center" indent="1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>
      <alignment vertical="center"/>
    </xf>
    <xf numFmtId="0" fontId="11" fillId="0" borderId="0" xfId="0" applyFont="1" applyFill="1" applyAlignment="1">
      <alignment horizontal="left" vertical="center" indent="1"/>
    </xf>
    <xf numFmtId="0" fontId="8" fillId="4" borderId="3" xfId="5" applyFont="1" applyBorder="1" applyAlignment="1">
      <alignment vertical="center"/>
    </xf>
    <xf numFmtId="0" fontId="8" fillId="4" borderId="4" xfId="5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indent="1"/>
    </xf>
    <xf numFmtId="14" fontId="12" fillId="4" borderId="4" xfId="5" applyNumberFormat="1" applyFont="1" applyBorder="1" applyAlignment="1">
      <alignment horizontal="left" vertical="center" indent="1"/>
    </xf>
    <xf numFmtId="0" fontId="12" fillId="0" borderId="6" xfId="0" applyFont="1" applyFill="1" applyBorder="1" applyAlignment="1">
      <alignment horizontal="left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176" fontId="0" fillId="0" borderId="0" xfId="0" applyNumberFormat="1" applyFont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 indent="1"/>
    </xf>
    <xf numFmtId="0" fontId="14" fillId="0" borderId="0" xfId="0" applyNumberFormat="1" applyFont="1" applyFill="1" applyBorder="1" applyAlignment="1">
      <alignment horizontal="left" vertical="center" indent="1"/>
    </xf>
    <xf numFmtId="0" fontId="0" fillId="0" borderId="0" xfId="0" applyNumberFormat="1" applyFont="1" applyAlignment="1">
      <alignment vertical="center"/>
    </xf>
    <xf numFmtId="0" fontId="4" fillId="0" borderId="0" xfId="4" applyFont="1">
      <alignment horizontal="left"/>
    </xf>
    <xf numFmtId="0" fontId="5" fillId="0" borderId="0" xfId="2" applyFont="1" applyBorder="1">
      <alignment horizontal="left" vertical="center"/>
    </xf>
    <xf numFmtId="0" fontId="5" fillId="0" borderId="14" xfId="2" applyFont="1" applyBorder="1">
      <alignment horizontal="left" vertical="center"/>
    </xf>
  </cellXfs>
  <cellStyles count="6">
    <cellStyle name="常规" xfId="0" builtinId="0" customBuiltin="1"/>
    <cellStyle name="工资单样式 1" xfId="5" xr:uid="{00000000-0005-0000-0000-000005000000}"/>
    <cellStyle name="公司名称" xfId="2" xr:uid="{00000000-0005-0000-0000-000000000000}"/>
    <cellStyle name="货币" xfId="1" builtinId="4" customBuiltin="1"/>
    <cellStyle name="页面标题" xfId="4" xr:uid="{00000000-0005-0000-0000-000004000000}"/>
    <cellStyle name="员工 ID 号" xfId="3" xr:uid="{00000000-0005-0000-0000-000002000000}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176" formatCode="0.0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176" formatCode="0.0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176" formatCode="0.0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176" formatCode="0.00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numFmt numFmtId="14" formatCode="0.00%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numFmt numFmtId="34" formatCode="_ &quot;¥&quot;* #,##0.00_ ;_ &quot;¥&quot;* \-#,##0.00_ ;_ &quot;¥&quot;* &quot;-&quot;??_ ;_ @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8"/>
        <name val="Microsoft YaHei UI"/>
        <family val="2"/>
        <charset val="134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sz val="7.5"/>
        <color theme="8" tint="-0.499984740745262"/>
      </font>
      <fill>
        <patternFill>
          <bgColor theme="0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 style="thin">
          <color theme="8"/>
        </horizontal>
      </border>
    </dxf>
    <dxf>
      <font>
        <sz val="7.5"/>
        <color theme="8" tint="-0.499984740745262"/>
      </font>
      <fill>
        <patternFill>
          <bgColor theme="7" tint="0.7999816888943144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 style="thin">
          <color theme="8"/>
        </horizontal>
      </border>
    </dxf>
    <dxf>
      <font>
        <sz val="8"/>
        <color theme="8" tint="-0.499984740745262"/>
      </font>
      <fill>
        <patternFill>
          <bgColor theme="6" tint="0.3999450666829432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</dxfs>
  <tableStyles count="1" defaultTableStyle="TableStyleMedium9" defaultPivotStyle="PivotStyleLight16">
    <tableStyle name="工资计算器" pivot="0" count="3" xr9:uid="{00000000-0011-0000-FFFF-FFFF00000000}">
      <tableStyleElement type="headerRow" dxfId="55"/>
      <tableStyleElement type="firstRowStripe" dxfId="54"/>
      <tableStyleElement type="secondRowStripe" dxfId="5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BF8EB"/>
      <rgbColor rgb="00C3D2E5"/>
      <rgbColor rgb="0033CCCC"/>
      <rgbColor rgb="0099CC00"/>
      <rgbColor rgb="00FFCC00"/>
      <rgbColor rgb="00FF9900"/>
      <rgbColor rgb="00FF6600"/>
      <rgbColor rgb="004B6B85"/>
      <rgbColor rgb="00757A8B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A4:M29" headerRowDxfId="52" dataDxfId="51" totalsRowDxfId="50">
  <autoFilter ref="A4:M29" xr:uid="{00000000-0009-0000-0100-000001000000}"/>
  <tableColumns count="13">
    <tableColumn id="1" xr3:uid="{00000000-0010-0000-0000-000001000000}" name="员工 ID" totalsRowLabel="汇总" dataDxfId="49" totalsRowDxfId="48"/>
    <tableColumn id="2" xr3:uid="{00000000-0010-0000-0000-000002000000}" name="员工姓名" dataDxfId="47" totalsRowDxfId="46"/>
    <tableColumn id="3" xr3:uid="{00000000-0010-0000-0000-000003000000}" name="每小时工资" dataDxfId="45" totalsRowDxfId="44"/>
    <tableColumn id="4" xr3:uid="{00000000-0010-0000-0000-000004000000}" name="税务状况" dataDxfId="43" totalsRowDxfId="42"/>
    <tableColumn id="5" xr3:uid="{00000000-0010-0000-0000-000005000000}" name="联邦津贴_x000a_（来自 W-4）" dataDxfId="41" totalsRowDxfId="40"/>
    <tableColumn id="6" xr3:uid="{00000000-0010-0000-0000-000006000000}" name="州税" dataDxfId="39" totalsRowDxfId="38"/>
    <tableColumn id="7" xr3:uid="{00000000-0010-0000-0000-000007000000}" name="联邦所得税_x000a_（基于联邦津贴）" dataDxfId="37" totalsRowDxfId="36"/>
    <tableColumn id="8" xr3:uid="{00000000-0010-0000-0000-000008000000}" name="社会保险税" dataDxfId="35" totalsRowDxfId="34"/>
    <tableColumn id="9" xr3:uid="{00000000-0010-0000-0000-000009000000}" name="医疗保险税" dataDxfId="33" totalsRowDxfId="32"/>
    <tableColumn id="10" xr3:uid="{00000000-0010-0000-0000-00000A000000}" name="总扣缴税费" dataDxfId="31" totalsRowDxfId="30">
      <calculatedColumnFormula>表1[[#This Row],[州税]]+表1[[#This Row],[联邦所得税
（基于联邦津贴）]]+表1[[#This Row],[社会保险税]]+表1[[#This Row],[医疗保险税]]</calculatedColumnFormula>
    </tableColumn>
    <tableColumn id="11" xr3:uid="{00000000-0010-0000-0000-00000B000000}" name="保险扣除额" dataDxfId="29" totalsRowDxfId="28"/>
    <tableColumn id="12" xr3:uid="{00000000-0010-0000-0000-00000C000000}" name="其他常规扣除额" dataDxfId="27" totalsRowDxfId="26"/>
    <tableColumn id="13" xr3:uid="{00000000-0010-0000-0000-00000D000000}" name="总常规扣除额_x000a_（不含税费）" totalsRowFunction="sum" dataDxfId="25" totalsRowDxfId="24">
      <calculatedColumnFormula>表1[[#This Row],[保险扣除额]]+表1[[#This Row],[其他常规扣除额]]</calculatedColumnFormula>
    </tableColumn>
  </tableColumns>
  <tableStyleInfo name="工资计算器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表2" ref="A4:K7" headerRowDxfId="23" dataDxfId="22" totalsRowDxfId="21">
  <autoFilter ref="A4:K7" xr:uid="{00000000-0009-0000-0100-000002000000}"/>
  <tableColumns count="11">
    <tableColumn id="1" xr3:uid="{00000000-0010-0000-0100-000001000000}" name="员工 ID" totalsRowLabel="汇总" dataDxfId="20" totalsRowDxfId="19"/>
    <tableColumn id="2" xr3:uid="{00000000-0010-0000-0100-000002000000}" name="员工姓名" dataDxfId="18">
      <calculatedColumnFormula>VLOOKUP(A5,表1[],2,FALSE)</calculatedColumnFormula>
    </tableColumn>
    <tableColumn id="3" xr3:uid="{00000000-0010-0000-0100-000003000000}" name="正常工作时数" dataDxfId="17" totalsRowDxfId="16"/>
    <tableColumn id="4" xr3:uid="{00000000-0010-0000-0100-000004000000}" name="休假小时数" dataDxfId="15" totalsRowDxfId="14"/>
    <tableColumn id="5" xr3:uid="{00000000-0010-0000-0100-000005000000}" name="病假小时数" dataDxfId="13" totalsRowDxfId="12"/>
    <tableColumn id="6" xr3:uid="{00000000-0010-0000-0100-000006000000}" name="加班小时数" dataDxfId="11" totalsRowDxfId="10"/>
    <tableColumn id="7" xr3:uid="{00000000-0010-0000-0100-000007000000}" name="加班工资率" dataDxfId="9" totalsRowDxfId="8"/>
    <tableColumn id="8" xr3:uid="{00000000-0010-0000-0100-000008000000}" name="工资总额" dataDxfId="7" totalsRowDxfId="6">
      <calculatedColumnFormula>(VLOOKUP(A5,表1[],3,FALSE)*(表2[[#This Row],[正常工作时数]]+表2[[#This Row],[休假小时数]]+表2[[#This Row],[病假小时数]])+表2[[#This Row],[加班小时数]]*表2[[#This Row],[加班工资率]])</calculatedColumnFormula>
    </tableColumn>
    <tableColumn id="9" xr3:uid="{00000000-0010-0000-0100-000009000000}" name="税费和扣除额 " dataDxfId="5" totalsRowDxfId="4">
      <calculatedColumnFormula>VLOOKUP(A5,表1[],10,FALSE)*表2[[#This Row],[工资总额]]+表1[[#This Row],[总常规扣除额
（不含税费）]]</calculatedColumnFormula>
    </tableColumn>
    <tableColumn id="10" xr3:uid="{00000000-0010-0000-0100-00000A000000}" name="其他扣除额" dataDxfId="3" totalsRowDxfId="2"/>
    <tableColumn id="11" xr3:uid="{00000000-0010-0000-0100-00000B000000}" name="实发工资" totalsRowFunction="count" dataDxfId="1" totalsRowDxfId="0">
      <calculatedColumnFormula>表2[[#This Row],[工资总额]]-表2[[#This Row],[税费和扣除额 ]]-表2[[#This Row],[其他扣除额]]</calculatedColumnFormula>
    </tableColumn>
  </tableColumns>
  <tableStyleInfo name="工资计算器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workbookViewId="0">
      <selection activeCell="P15" sqref="P15"/>
    </sheetView>
  </sheetViews>
  <sheetFormatPr defaultRowHeight="13.5"/>
  <cols>
    <col min="1" max="1" width="11.5" style="5" customWidth="1"/>
    <col min="2" max="2" width="19.5" style="5" customWidth="1"/>
    <col min="3" max="3" width="17.33203125" style="5" customWidth="1"/>
    <col min="4" max="4" width="19.1640625" style="5" customWidth="1"/>
    <col min="5" max="5" width="20.1640625" style="5" customWidth="1"/>
    <col min="6" max="6" width="16.5" style="5" customWidth="1"/>
    <col min="7" max="7" width="20.5" style="5" customWidth="1"/>
    <col min="8" max="8" width="23.83203125" style="5" customWidth="1"/>
    <col min="9" max="9" width="17.33203125" style="5" customWidth="1"/>
    <col min="10" max="10" width="26.1640625" style="5" customWidth="1"/>
    <col min="11" max="11" width="19" style="5" customWidth="1"/>
    <col min="12" max="12" width="23" style="5" customWidth="1"/>
    <col min="13" max="13" width="22.6640625" style="5" customWidth="1"/>
    <col min="14" max="16384" width="9.33203125" style="5"/>
  </cols>
  <sheetData>
    <row r="1" spans="1:13" ht="16.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49.5" customHeight="1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30">
      <c r="A3" s="71" t="s">
        <v>1</v>
      </c>
      <c r="B3" s="71"/>
      <c r="C3" s="71"/>
      <c r="D3" s="71"/>
      <c r="E3" s="71"/>
      <c r="F3" s="71"/>
      <c r="G3" s="6"/>
      <c r="H3" s="6"/>
      <c r="I3" s="6"/>
      <c r="J3" s="6"/>
      <c r="K3" s="6"/>
      <c r="L3" s="6"/>
      <c r="M3" s="6"/>
    </row>
    <row r="4" spans="1:13" ht="29.25" customHeight="1">
      <c r="A4" s="7" t="s">
        <v>2</v>
      </c>
      <c r="B4" s="8" t="s">
        <v>3</v>
      </c>
      <c r="C4" s="8" t="s">
        <v>7</v>
      </c>
      <c r="D4" s="8" t="s">
        <v>8</v>
      </c>
      <c r="E4" s="8" t="s">
        <v>34</v>
      </c>
      <c r="F4" s="8" t="s">
        <v>10</v>
      </c>
      <c r="G4" s="8" t="s">
        <v>35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36</v>
      </c>
    </row>
    <row r="5" spans="1:13" ht="18.95" customHeight="1">
      <c r="A5" s="9">
        <v>1</v>
      </c>
      <c r="B5" s="2" t="s">
        <v>4</v>
      </c>
      <c r="C5" s="64">
        <v>10</v>
      </c>
      <c r="D5" s="10">
        <v>1</v>
      </c>
      <c r="E5" s="10">
        <v>4</v>
      </c>
      <c r="F5" s="11">
        <v>2.3E-2</v>
      </c>
      <c r="G5" s="11">
        <v>0.28000000000000003</v>
      </c>
      <c r="H5" s="11">
        <v>6.3E-2</v>
      </c>
      <c r="I5" s="11">
        <v>1.4500000000000001E-2</v>
      </c>
      <c r="J5" s="11">
        <f>表1[[#This Row],[州税]]+表1[[#This Row],[联邦所得税
（基于联邦津贴）]]+表1[[#This Row],[社会保险税]]+表1[[#This Row],[医疗保险税]]</f>
        <v>0.38050000000000006</v>
      </c>
      <c r="K5" s="64">
        <v>20</v>
      </c>
      <c r="L5" s="64">
        <v>40</v>
      </c>
      <c r="M5" s="64">
        <f>表1[[#This Row],[保险扣除额]]+表1[[#This Row],[其他常规扣除额]]</f>
        <v>60</v>
      </c>
    </row>
    <row r="6" spans="1:13" ht="18.95" customHeight="1">
      <c r="A6" s="9">
        <v>2</v>
      </c>
      <c r="B6" s="2" t="s">
        <v>5</v>
      </c>
      <c r="C6" s="64">
        <v>13</v>
      </c>
      <c r="D6" s="10">
        <v>1</v>
      </c>
      <c r="E6" s="10">
        <v>4</v>
      </c>
      <c r="F6" s="11">
        <v>2.3E-2</v>
      </c>
      <c r="G6" s="11">
        <v>0.28000000000000003</v>
      </c>
      <c r="H6" s="11">
        <v>6.3E-2</v>
      </c>
      <c r="I6" s="11">
        <v>1.4500000000000001E-2</v>
      </c>
      <c r="J6" s="11">
        <f>表1[[#This Row],[州税]]+表1[[#This Row],[联邦所得税
（基于联邦津贴）]]+表1[[#This Row],[社会保险税]]+表1[[#This Row],[医疗保险税]]</f>
        <v>0.38050000000000006</v>
      </c>
      <c r="K6" s="64">
        <v>20</v>
      </c>
      <c r="L6" s="64">
        <v>52</v>
      </c>
      <c r="M6" s="64">
        <f>表1[[#This Row],[保险扣除额]]+表1[[#This Row],[其他常规扣除额]]</f>
        <v>72</v>
      </c>
    </row>
    <row r="7" spans="1:13" ht="18.95" customHeight="1">
      <c r="A7" s="9">
        <v>3</v>
      </c>
      <c r="B7" s="2" t="s">
        <v>6</v>
      </c>
      <c r="C7" s="64">
        <v>10</v>
      </c>
      <c r="D7" s="10">
        <v>1</v>
      </c>
      <c r="E7" s="10">
        <v>4</v>
      </c>
      <c r="F7" s="11">
        <v>2.3E-2</v>
      </c>
      <c r="G7" s="11">
        <v>0.28000000000000003</v>
      </c>
      <c r="H7" s="11">
        <v>6.3E-2</v>
      </c>
      <c r="I7" s="11">
        <v>1.4500000000000001E-2</v>
      </c>
      <c r="J7" s="11">
        <f>表1[[#This Row],[州税]]+表1[[#This Row],[联邦所得税
（基于联邦津贴）]]+表1[[#This Row],[社会保险税]]+表1[[#This Row],[医疗保险税]]</f>
        <v>0.38050000000000006</v>
      </c>
      <c r="K7" s="64">
        <v>20</v>
      </c>
      <c r="L7" s="64">
        <v>0</v>
      </c>
      <c r="M7" s="64">
        <f>表1[[#This Row],[保险扣除额]]+表1[[#This Row],[其他常规扣除额]]</f>
        <v>20</v>
      </c>
    </row>
    <row r="8" spans="1:13" ht="18.95" customHeight="1">
      <c r="A8" s="9">
        <v>4</v>
      </c>
      <c r="B8" s="2" t="s">
        <v>4</v>
      </c>
      <c r="C8" s="64">
        <v>11</v>
      </c>
      <c r="D8" s="10">
        <v>1</v>
      </c>
      <c r="E8" s="10">
        <v>4</v>
      </c>
      <c r="F8" s="11">
        <v>2.3E-2</v>
      </c>
      <c r="G8" s="11">
        <v>0.28000000000000003</v>
      </c>
      <c r="H8" s="11">
        <v>6.3E-2</v>
      </c>
      <c r="I8" s="11">
        <v>1.4500000000000001E-2</v>
      </c>
      <c r="J8" s="11">
        <f>表1[[#This Row],[州税]]+表1[[#This Row],[联邦所得税
（基于联邦津贴）]]+表1[[#This Row],[社会保险税]]+表1[[#This Row],[医疗保险税]]</f>
        <v>0.38050000000000006</v>
      </c>
      <c r="K8" s="64">
        <v>20</v>
      </c>
      <c r="L8" s="64">
        <v>-9.3333333333333393</v>
      </c>
      <c r="M8" s="64">
        <f>表1[[#This Row],[保险扣除额]]+表1[[#This Row],[其他常规扣除额]]</f>
        <v>10.666666666666661</v>
      </c>
    </row>
    <row r="9" spans="1:13" ht="18.95" customHeight="1">
      <c r="A9" s="9">
        <v>5</v>
      </c>
      <c r="B9" s="2" t="s">
        <v>5</v>
      </c>
      <c r="C9" s="64">
        <v>11</v>
      </c>
      <c r="D9" s="10">
        <v>1</v>
      </c>
      <c r="E9" s="10">
        <v>4</v>
      </c>
      <c r="F9" s="11">
        <v>2.3E-2</v>
      </c>
      <c r="G9" s="11">
        <v>0.28000000000000003</v>
      </c>
      <c r="H9" s="11">
        <v>6.3E-2</v>
      </c>
      <c r="I9" s="11">
        <v>1.4500000000000001E-2</v>
      </c>
      <c r="J9" s="11">
        <f>表1[[#This Row],[州税]]+表1[[#This Row],[联邦所得税
（基于联邦津贴）]]+表1[[#This Row],[社会保险税]]+表1[[#This Row],[医疗保险税]]</f>
        <v>0.38050000000000006</v>
      </c>
      <c r="K9" s="64">
        <v>20</v>
      </c>
      <c r="L9" s="64">
        <v>-29.3333333333333</v>
      </c>
      <c r="M9" s="64">
        <f>表1[[#This Row],[保险扣除额]]+表1[[#This Row],[其他常规扣除额]]</f>
        <v>-9.3333333333333002</v>
      </c>
    </row>
    <row r="10" spans="1:13" ht="18.95" customHeight="1">
      <c r="A10" s="9">
        <v>6</v>
      </c>
      <c r="B10" s="2" t="s">
        <v>6</v>
      </c>
      <c r="C10" s="64">
        <v>11</v>
      </c>
      <c r="D10" s="10">
        <v>1</v>
      </c>
      <c r="E10" s="10">
        <v>4</v>
      </c>
      <c r="F10" s="11">
        <v>2.3E-2</v>
      </c>
      <c r="G10" s="11">
        <v>0.28000000000000003</v>
      </c>
      <c r="H10" s="11">
        <v>6.3E-2</v>
      </c>
      <c r="I10" s="11">
        <v>1.4500000000000001E-2</v>
      </c>
      <c r="J10" s="11">
        <f>表1[[#This Row],[州税]]+表1[[#This Row],[联邦所得税
（基于联邦津贴）]]+表1[[#This Row],[社会保险税]]+表1[[#This Row],[医疗保险税]]</f>
        <v>0.38050000000000006</v>
      </c>
      <c r="K10" s="64">
        <v>20</v>
      </c>
      <c r="L10" s="64">
        <v>-49.3333333333333</v>
      </c>
      <c r="M10" s="64">
        <f>表1[[#This Row],[保险扣除额]]+表1[[#This Row],[其他常规扣除额]]</f>
        <v>-29.3333333333333</v>
      </c>
    </row>
    <row r="11" spans="1:13" ht="18.95" customHeight="1">
      <c r="A11" s="9">
        <v>7</v>
      </c>
      <c r="B11" s="2" t="s">
        <v>4</v>
      </c>
      <c r="C11" s="64">
        <v>11</v>
      </c>
      <c r="D11" s="10">
        <v>1</v>
      </c>
      <c r="E11" s="10">
        <v>4</v>
      </c>
      <c r="F11" s="11">
        <v>2.3E-2</v>
      </c>
      <c r="G11" s="11">
        <v>0.28000000000000003</v>
      </c>
      <c r="H11" s="11">
        <v>6.3E-2</v>
      </c>
      <c r="I11" s="11">
        <v>1.4500000000000001E-2</v>
      </c>
      <c r="J11" s="11">
        <f>表1[[#This Row],[州税]]+表1[[#This Row],[联邦所得税
（基于联邦津贴）]]+表1[[#This Row],[社会保险税]]+表1[[#This Row],[医疗保险税]]</f>
        <v>0.38050000000000006</v>
      </c>
      <c r="K11" s="64">
        <v>20</v>
      </c>
      <c r="L11" s="64">
        <v>-69.3333333333333</v>
      </c>
      <c r="M11" s="64">
        <f>表1[[#This Row],[保险扣除额]]+表1[[#This Row],[其他常规扣除额]]</f>
        <v>-49.3333333333333</v>
      </c>
    </row>
    <row r="12" spans="1:13" ht="18.95" customHeight="1">
      <c r="A12" s="9">
        <v>8</v>
      </c>
      <c r="B12" s="2" t="s">
        <v>5</v>
      </c>
      <c r="C12" s="64">
        <v>11</v>
      </c>
      <c r="D12" s="10">
        <v>1</v>
      </c>
      <c r="E12" s="10">
        <v>4</v>
      </c>
      <c r="F12" s="11">
        <v>2.3E-2</v>
      </c>
      <c r="G12" s="11">
        <v>0.28000000000000003</v>
      </c>
      <c r="H12" s="11">
        <v>6.3E-2</v>
      </c>
      <c r="I12" s="11">
        <v>1.4500000000000001E-2</v>
      </c>
      <c r="J12" s="11">
        <f>表1[[#This Row],[州税]]+表1[[#This Row],[联邦所得税
（基于联邦津贴）]]+表1[[#This Row],[社会保险税]]+表1[[#This Row],[医疗保险税]]</f>
        <v>0.38050000000000006</v>
      </c>
      <c r="K12" s="64">
        <v>20</v>
      </c>
      <c r="L12" s="64">
        <v>-89.3333333333333</v>
      </c>
      <c r="M12" s="64">
        <f>表1[[#This Row],[保险扣除额]]+表1[[#This Row],[其他常规扣除额]]</f>
        <v>-69.3333333333333</v>
      </c>
    </row>
    <row r="13" spans="1:13" ht="18.95" customHeight="1">
      <c r="A13" s="9">
        <v>9</v>
      </c>
      <c r="B13" s="2" t="s">
        <v>6</v>
      </c>
      <c r="C13" s="64">
        <v>11</v>
      </c>
      <c r="D13" s="10">
        <v>1</v>
      </c>
      <c r="E13" s="10">
        <v>4</v>
      </c>
      <c r="F13" s="11">
        <v>2.3E-2</v>
      </c>
      <c r="G13" s="11">
        <v>0.28000000000000003</v>
      </c>
      <c r="H13" s="11">
        <v>6.3E-2</v>
      </c>
      <c r="I13" s="11">
        <v>1.4500000000000001E-2</v>
      </c>
      <c r="J13" s="11">
        <f>表1[[#This Row],[州税]]+表1[[#This Row],[联邦所得税
（基于联邦津贴）]]+表1[[#This Row],[社会保险税]]+表1[[#This Row],[医疗保险税]]</f>
        <v>0.38050000000000006</v>
      </c>
      <c r="K13" s="64">
        <v>20</v>
      </c>
      <c r="L13" s="64">
        <v>-109.333333333333</v>
      </c>
      <c r="M13" s="64">
        <f>表1[[#This Row],[保险扣除额]]+表1[[#This Row],[其他常规扣除额]]</f>
        <v>-89.333333333333002</v>
      </c>
    </row>
    <row r="14" spans="1:13" ht="18.95" customHeight="1">
      <c r="A14" s="9">
        <v>10</v>
      </c>
      <c r="B14" s="2" t="s">
        <v>4</v>
      </c>
      <c r="C14" s="64">
        <v>11</v>
      </c>
      <c r="D14" s="10">
        <v>1</v>
      </c>
      <c r="E14" s="10">
        <v>4</v>
      </c>
      <c r="F14" s="11">
        <v>2.3E-2</v>
      </c>
      <c r="G14" s="11">
        <v>0.28000000000000003</v>
      </c>
      <c r="H14" s="11">
        <v>6.3E-2</v>
      </c>
      <c r="I14" s="11">
        <v>1.4500000000000001E-2</v>
      </c>
      <c r="J14" s="11">
        <f>表1[[#This Row],[州税]]+表1[[#This Row],[联邦所得税
（基于联邦津贴）]]+表1[[#This Row],[社会保险税]]+表1[[#This Row],[医疗保险税]]</f>
        <v>0.38050000000000006</v>
      </c>
      <c r="K14" s="64">
        <v>20</v>
      </c>
      <c r="L14" s="64">
        <v>-129.333333333333</v>
      </c>
      <c r="M14" s="64">
        <f>表1[[#This Row],[保险扣除额]]+表1[[#This Row],[其他常规扣除额]]</f>
        <v>-109.333333333333</v>
      </c>
    </row>
    <row r="15" spans="1:13" ht="18.95" customHeight="1">
      <c r="A15" s="9">
        <v>11</v>
      </c>
      <c r="B15" s="2" t="s">
        <v>5</v>
      </c>
      <c r="C15" s="64">
        <v>11</v>
      </c>
      <c r="D15" s="10">
        <v>1</v>
      </c>
      <c r="E15" s="10">
        <v>4</v>
      </c>
      <c r="F15" s="11">
        <v>2.3E-2</v>
      </c>
      <c r="G15" s="11">
        <v>0.28000000000000003</v>
      </c>
      <c r="H15" s="11">
        <v>6.3E-2</v>
      </c>
      <c r="I15" s="11">
        <v>1.4500000000000001E-2</v>
      </c>
      <c r="J15" s="11">
        <f>表1[[#This Row],[州税]]+表1[[#This Row],[联邦所得税
（基于联邦津贴）]]+表1[[#This Row],[社会保险税]]+表1[[#This Row],[医疗保险税]]</f>
        <v>0.38050000000000006</v>
      </c>
      <c r="K15" s="64">
        <v>20</v>
      </c>
      <c r="L15" s="64">
        <v>-149.333333333333</v>
      </c>
      <c r="M15" s="64">
        <f>表1[[#This Row],[保险扣除额]]+表1[[#This Row],[其他常规扣除额]]</f>
        <v>-129.333333333333</v>
      </c>
    </row>
    <row r="16" spans="1:13" ht="18.95" customHeight="1">
      <c r="A16" s="9">
        <v>12</v>
      </c>
      <c r="B16" s="2" t="s">
        <v>6</v>
      </c>
      <c r="C16" s="64">
        <v>11</v>
      </c>
      <c r="D16" s="10">
        <v>1</v>
      </c>
      <c r="E16" s="10">
        <v>4</v>
      </c>
      <c r="F16" s="11">
        <v>2.3E-2</v>
      </c>
      <c r="G16" s="11">
        <v>0.28000000000000003</v>
      </c>
      <c r="H16" s="11">
        <v>6.3E-2</v>
      </c>
      <c r="I16" s="11">
        <v>1.4500000000000001E-2</v>
      </c>
      <c r="J16" s="11">
        <f>表1[[#This Row],[州税]]+表1[[#This Row],[联邦所得税
（基于联邦津贴）]]+表1[[#This Row],[社会保险税]]+表1[[#This Row],[医疗保险税]]</f>
        <v>0.38050000000000006</v>
      </c>
      <c r="K16" s="64">
        <v>20</v>
      </c>
      <c r="L16" s="64">
        <v>-169.333333333333</v>
      </c>
      <c r="M16" s="64">
        <f>表1[[#This Row],[保险扣除额]]+表1[[#This Row],[其他常规扣除额]]</f>
        <v>-149.333333333333</v>
      </c>
    </row>
    <row r="17" spans="1:13" ht="18.95" customHeight="1">
      <c r="A17" s="9">
        <v>13</v>
      </c>
      <c r="B17" s="2" t="s">
        <v>4</v>
      </c>
      <c r="C17" s="64">
        <v>11</v>
      </c>
      <c r="D17" s="10">
        <v>1</v>
      </c>
      <c r="E17" s="10">
        <v>4</v>
      </c>
      <c r="F17" s="11">
        <v>2.3E-2</v>
      </c>
      <c r="G17" s="11">
        <v>0.28000000000000003</v>
      </c>
      <c r="H17" s="11">
        <v>6.3E-2</v>
      </c>
      <c r="I17" s="11">
        <v>1.4500000000000001E-2</v>
      </c>
      <c r="J17" s="11">
        <f>表1[[#This Row],[州税]]+表1[[#This Row],[联邦所得税
（基于联邦津贴）]]+表1[[#This Row],[社会保险税]]+表1[[#This Row],[医疗保险税]]</f>
        <v>0.38050000000000006</v>
      </c>
      <c r="K17" s="64">
        <v>20</v>
      </c>
      <c r="L17" s="64">
        <v>-189.333333333333</v>
      </c>
      <c r="M17" s="64">
        <f>表1[[#This Row],[保险扣除额]]+表1[[#This Row],[其他常规扣除额]]</f>
        <v>-169.333333333333</v>
      </c>
    </row>
    <row r="18" spans="1:13" ht="18.95" customHeight="1">
      <c r="A18" s="9">
        <v>14</v>
      </c>
      <c r="B18" s="2" t="s">
        <v>5</v>
      </c>
      <c r="C18" s="64">
        <v>11</v>
      </c>
      <c r="D18" s="10">
        <v>1</v>
      </c>
      <c r="E18" s="10">
        <v>4</v>
      </c>
      <c r="F18" s="11">
        <v>2.3E-2</v>
      </c>
      <c r="G18" s="11">
        <v>0.28000000000000003</v>
      </c>
      <c r="H18" s="11">
        <v>6.3E-2</v>
      </c>
      <c r="I18" s="11">
        <v>1.4500000000000001E-2</v>
      </c>
      <c r="J18" s="11">
        <f>表1[[#This Row],[州税]]+表1[[#This Row],[联邦所得税
（基于联邦津贴）]]+表1[[#This Row],[社会保险税]]+表1[[#This Row],[医疗保险税]]</f>
        <v>0.38050000000000006</v>
      </c>
      <c r="K18" s="64">
        <v>20</v>
      </c>
      <c r="L18" s="64">
        <v>-209.333333333333</v>
      </c>
      <c r="M18" s="64">
        <f>表1[[#This Row],[保险扣除额]]+表1[[#This Row],[其他常规扣除额]]</f>
        <v>-189.333333333333</v>
      </c>
    </row>
    <row r="19" spans="1:13" ht="18.95" customHeight="1">
      <c r="A19" s="9">
        <v>15</v>
      </c>
      <c r="B19" s="2" t="s">
        <v>6</v>
      </c>
      <c r="C19" s="64">
        <v>11</v>
      </c>
      <c r="D19" s="10">
        <v>1</v>
      </c>
      <c r="E19" s="10">
        <v>4</v>
      </c>
      <c r="F19" s="11">
        <v>2.3E-2</v>
      </c>
      <c r="G19" s="11">
        <v>0.28000000000000003</v>
      </c>
      <c r="H19" s="11">
        <v>6.3E-2</v>
      </c>
      <c r="I19" s="11">
        <v>1.4500000000000001E-2</v>
      </c>
      <c r="J19" s="11">
        <f>表1[[#This Row],[州税]]+表1[[#This Row],[联邦所得税
（基于联邦津贴）]]+表1[[#This Row],[社会保险税]]+表1[[#This Row],[医疗保险税]]</f>
        <v>0.38050000000000006</v>
      </c>
      <c r="K19" s="64">
        <v>20</v>
      </c>
      <c r="L19" s="64">
        <v>-229.333333333333</v>
      </c>
      <c r="M19" s="64">
        <f>表1[[#This Row],[保险扣除额]]+表1[[#This Row],[其他常规扣除额]]</f>
        <v>-209.333333333333</v>
      </c>
    </row>
    <row r="20" spans="1:13" ht="18.95" customHeight="1">
      <c r="A20" s="9">
        <v>16</v>
      </c>
      <c r="B20" s="2" t="s">
        <v>4</v>
      </c>
      <c r="C20" s="64">
        <v>11</v>
      </c>
      <c r="D20" s="10">
        <v>1</v>
      </c>
      <c r="E20" s="10">
        <v>4</v>
      </c>
      <c r="F20" s="11">
        <v>2.3E-2</v>
      </c>
      <c r="G20" s="11">
        <v>0.28000000000000003</v>
      </c>
      <c r="H20" s="11">
        <v>6.3E-2</v>
      </c>
      <c r="I20" s="11">
        <v>1.4500000000000001E-2</v>
      </c>
      <c r="J20" s="11">
        <f>表1[[#This Row],[州税]]+表1[[#This Row],[联邦所得税
（基于联邦津贴）]]+表1[[#This Row],[社会保险税]]+表1[[#This Row],[医疗保险税]]</f>
        <v>0.38050000000000006</v>
      </c>
      <c r="K20" s="64">
        <v>20</v>
      </c>
      <c r="L20" s="64">
        <v>-249.333333333333</v>
      </c>
      <c r="M20" s="64">
        <f>表1[[#This Row],[保险扣除额]]+表1[[#This Row],[其他常规扣除额]]</f>
        <v>-229.333333333333</v>
      </c>
    </row>
    <row r="21" spans="1:13" ht="18.95" customHeight="1">
      <c r="A21" s="9">
        <v>17</v>
      </c>
      <c r="B21" s="2" t="s">
        <v>5</v>
      </c>
      <c r="C21" s="64">
        <v>11</v>
      </c>
      <c r="D21" s="10">
        <v>1</v>
      </c>
      <c r="E21" s="10">
        <v>4</v>
      </c>
      <c r="F21" s="11">
        <v>2.3E-2</v>
      </c>
      <c r="G21" s="11">
        <v>0.28000000000000003</v>
      </c>
      <c r="H21" s="11">
        <v>6.3E-2</v>
      </c>
      <c r="I21" s="11">
        <v>1.4500000000000001E-2</v>
      </c>
      <c r="J21" s="11">
        <f>表1[[#This Row],[州税]]+表1[[#This Row],[联邦所得税
（基于联邦津贴）]]+表1[[#This Row],[社会保险税]]+表1[[#This Row],[医疗保险税]]</f>
        <v>0.38050000000000006</v>
      </c>
      <c r="K21" s="64">
        <v>20</v>
      </c>
      <c r="L21" s="64">
        <v>-269.33333333333297</v>
      </c>
      <c r="M21" s="64">
        <f>表1[[#This Row],[保险扣除额]]+表1[[#This Row],[其他常规扣除额]]</f>
        <v>-249.33333333333297</v>
      </c>
    </row>
    <row r="22" spans="1:13" ht="18.95" customHeight="1">
      <c r="A22" s="9">
        <v>18</v>
      </c>
      <c r="B22" s="2" t="s">
        <v>6</v>
      </c>
      <c r="C22" s="64">
        <v>11</v>
      </c>
      <c r="D22" s="10">
        <v>1</v>
      </c>
      <c r="E22" s="10">
        <v>4</v>
      </c>
      <c r="F22" s="11">
        <v>2.3E-2</v>
      </c>
      <c r="G22" s="11">
        <v>0.28000000000000003</v>
      </c>
      <c r="H22" s="11">
        <v>6.3E-2</v>
      </c>
      <c r="I22" s="11">
        <v>1.4500000000000001E-2</v>
      </c>
      <c r="J22" s="11">
        <f>表1[[#This Row],[州税]]+表1[[#This Row],[联邦所得税
（基于联邦津贴）]]+表1[[#This Row],[社会保险税]]+表1[[#This Row],[医疗保险税]]</f>
        <v>0.38050000000000006</v>
      </c>
      <c r="K22" s="64">
        <v>20</v>
      </c>
      <c r="L22" s="64">
        <v>-289.33333333333297</v>
      </c>
      <c r="M22" s="64">
        <f>表1[[#This Row],[保险扣除额]]+表1[[#This Row],[其他常规扣除额]]</f>
        <v>-269.33333333333297</v>
      </c>
    </row>
    <row r="23" spans="1:13" ht="18.95" customHeight="1">
      <c r="A23" s="9">
        <v>19</v>
      </c>
      <c r="B23" s="2" t="s">
        <v>4</v>
      </c>
      <c r="C23" s="64">
        <v>11</v>
      </c>
      <c r="D23" s="10">
        <v>1</v>
      </c>
      <c r="E23" s="10">
        <v>4</v>
      </c>
      <c r="F23" s="11">
        <v>2.3E-2</v>
      </c>
      <c r="G23" s="11">
        <v>0.28000000000000003</v>
      </c>
      <c r="H23" s="11">
        <v>6.3E-2</v>
      </c>
      <c r="I23" s="11">
        <v>1.4500000000000001E-2</v>
      </c>
      <c r="J23" s="11">
        <f>表1[[#This Row],[州税]]+表1[[#This Row],[联邦所得税
（基于联邦津贴）]]+表1[[#This Row],[社会保险税]]+表1[[#This Row],[医疗保险税]]</f>
        <v>0.38050000000000006</v>
      </c>
      <c r="K23" s="64">
        <v>20</v>
      </c>
      <c r="L23" s="64">
        <v>-309.33333333333297</v>
      </c>
      <c r="M23" s="64">
        <f>表1[[#This Row],[保险扣除额]]+表1[[#This Row],[其他常规扣除额]]</f>
        <v>-289.33333333333297</v>
      </c>
    </row>
    <row r="24" spans="1:13" ht="18.95" customHeight="1">
      <c r="A24" s="9">
        <v>20</v>
      </c>
      <c r="B24" s="2" t="s">
        <v>5</v>
      </c>
      <c r="C24" s="64">
        <v>11</v>
      </c>
      <c r="D24" s="10">
        <v>1</v>
      </c>
      <c r="E24" s="10">
        <v>4</v>
      </c>
      <c r="F24" s="11">
        <v>2.3E-2</v>
      </c>
      <c r="G24" s="11">
        <v>0.28000000000000003</v>
      </c>
      <c r="H24" s="11">
        <v>6.3E-2</v>
      </c>
      <c r="I24" s="11">
        <v>1.4500000000000001E-2</v>
      </c>
      <c r="J24" s="11">
        <f>表1[[#This Row],[州税]]+表1[[#This Row],[联邦所得税
（基于联邦津贴）]]+表1[[#This Row],[社会保险税]]+表1[[#This Row],[医疗保险税]]</f>
        <v>0.38050000000000006</v>
      </c>
      <c r="K24" s="64">
        <v>20</v>
      </c>
      <c r="L24" s="64">
        <v>-329.33333333333297</v>
      </c>
      <c r="M24" s="64">
        <f>表1[[#This Row],[保险扣除额]]+表1[[#This Row],[其他常规扣除额]]</f>
        <v>-309.33333333333297</v>
      </c>
    </row>
    <row r="25" spans="1:13" ht="18.95" customHeight="1">
      <c r="A25" s="9">
        <v>21</v>
      </c>
      <c r="B25" s="2" t="s">
        <v>6</v>
      </c>
      <c r="C25" s="64">
        <v>11</v>
      </c>
      <c r="D25" s="10">
        <v>1</v>
      </c>
      <c r="E25" s="10">
        <v>4</v>
      </c>
      <c r="F25" s="11">
        <v>2.3E-2</v>
      </c>
      <c r="G25" s="11">
        <v>0.28000000000000003</v>
      </c>
      <c r="H25" s="11">
        <v>6.3E-2</v>
      </c>
      <c r="I25" s="11">
        <v>1.4500000000000001E-2</v>
      </c>
      <c r="J25" s="11">
        <f>表1[[#This Row],[州税]]+表1[[#This Row],[联邦所得税
（基于联邦津贴）]]+表1[[#This Row],[社会保险税]]+表1[[#This Row],[医疗保险税]]</f>
        <v>0.38050000000000006</v>
      </c>
      <c r="K25" s="64">
        <v>20</v>
      </c>
      <c r="L25" s="64">
        <v>-349.33333333333297</v>
      </c>
      <c r="M25" s="64">
        <f>表1[[#This Row],[保险扣除额]]+表1[[#This Row],[其他常规扣除额]]</f>
        <v>-329.33333333333297</v>
      </c>
    </row>
    <row r="26" spans="1:13" ht="18.95" customHeight="1">
      <c r="A26" s="9">
        <v>22</v>
      </c>
      <c r="B26" s="2" t="s">
        <v>4</v>
      </c>
      <c r="C26" s="64">
        <v>11</v>
      </c>
      <c r="D26" s="10">
        <v>1</v>
      </c>
      <c r="E26" s="10">
        <v>4</v>
      </c>
      <c r="F26" s="11">
        <v>2.3E-2</v>
      </c>
      <c r="G26" s="11">
        <v>0.28000000000000003</v>
      </c>
      <c r="H26" s="11">
        <v>6.3E-2</v>
      </c>
      <c r="I26" s="11">
        <v>1.4500000000000001E-2</v>
      </c>
      <c r="J26" s="11">
        <f>表1[[#This Row],[州税]]+表1[[#This Row],[联邦所得税
（基于联邦津贴）]]+表1[[#This Row],[社会保险税]]+表1[[#This Row],[医疗保险税]]</f>
        <v>0.38050000000000006</v>
      </c>
      <c r="K26" s="64">
        <v>20</v>
      </c>
      <c r="L26" s="64">
        <v>-369.33333333333297</v>
      </c>
      <c r="M26" s="64">
        <f>表1[[#This Row],[保险扣除额]]+表1[[#This Row],[其他常规扣除额]]</f>
        <v>-349.33333333333297</v>
      </c>
    </row>
    <row r="27" spans="1:13" ht="18.95" customHeight="1">
      <c r="A27" s="9">
        <v>23</v>
      </c>
      <c r="B27" s="2" t="s">
        <v>5</v>
      </c>
      <c r="C27" s="64">
        <v>11</v>
      </c>
      <c r="D27" s="10">
        <v>1</v>
      </c>
      <c r="E27" s="10">
        <v>4</v>
      </c>
      <c r="F27" s="11">
        <v>2.3E-2</v>
      </c>
      <c r="G27" s="11">
        <v>0.28000000000000003</v>
      </c>
      <c r="H27" s="11">
        <v>6.3E-2</v>
      </c>
      <c r="I27" s="11">
        <v>1.4500000000000001E-2</v>
      </c>
      <c r="J27" s="11">
        <f>表1[[#This Row],[州税]]+表1[[#This Row],[联邦所得税
（基于联邦津贴）]]+表1[[#This Row],[社会保险税]]+表1[[#This Row],[医疗保险税]]</f>
        <v>0.38050000000000006</v>
      </c>
      <c r="K27" s="64">
        <v>20</v>
      </c>
      <c r="L27" s="64">
        <v>-389.33333333333297</v>
      </c>
      <c r="M27" s="64">
        <f>表1[[#This Row],[保险扣除额]]+表1[[#This Row],[其他常规扣除额]]</f>
        <v>-369.33333333333297</v>
      </c>
    </row>
    <row r="28" spans="1:13" ht="18.95" customHeight="1">
      <c r="A28" s="9">
        <v>24</v>
      </c>
      <c r="B28" s="2" t="s">
        <v>6</v>
      </c>
      <c r="C28" s="64">
        <v>11</v>
      </c>
      <c r="D28" s="10">
        <v>1</v>
      </c>
      <c r="E28" s="10">
        <v>4</v>
      </c>
      <c r="F28" s="11">
        <v>2.3E-2</v>
      </c>
      <c r="G28" s="11">
        <v>0.28000000000000003</v>
      </c>
      <c r="H28" s="11">
        <v>6.3E-2</v>
      </c>
      <c r="I28" s="11">
        <v>1.4500000000000001E-2</v>
      </c>
      <c r="J28" s="11">
        <f>表1[[#This Row],[州税]]+表1[[#This Row],[联邦所得税
（基于联邦津贴）]]+表1[[#This Row],[社会保险税]]+表1[[#This Row],[医疗保险税]]</f>
        <v>0.38050000000000006</v>
      </c>
      <c r="K28" s="64">
        <v>20</v>
      </c>
      <c r="L28" s="64">
        <v>-409.33333333333297</v>
      </c>
      <c r="M28" s="64">
        <f>表1[[#This Row],[保险扣除额]]+表1[[#This Row],[其他常规扣除额]]</f>
        <v>-389.33333333333297</v>
      </c>
    </row>
    <row r="29" spans="1:13" ht="18.95" customHeight="1">
      <c r="A29" s="9">
        <v>25</v>
      </c>
      <c r="B29" s="2" t="s">
        <v>4</v>
      </c>
      <c r="C29" s="64">
        <v>11</v>
      </c>
      <c r="D29" s="10">
        <v>1</v>
      </c>
      <c r="E29" s="10">
        <v>4</v>
      </c>
      <c r="F29" s="11">
        <v>2.3E-2</v>
      </c>
      <c r="G29" s="11">
        <v>0.28000000000000003</v>
      </c>
      <c r="H29" s="11">
        <v>6.3E-2</v>
      </c>
      <c r="I29" s="11">
        <v>1.4500000000000001E-2</v>
      </c>
      <c r="J29" s="11">
        <f>表1[[#This Row],[州税]]+表1[[#This Row],[联邦所得税
（基于联邦津贴）]]+表1[[#This Row],[社会保险税]]+表1[[#This Row],[医疗保险税]]</f>
        <v>0.38050000000000006</v>
      </c>
      <c r="K29" s="64">
        <v>20</v>
      </c>
      <c r="L29" s="64">
        <v>-429.33333333333297</v>
      </c>
      <c r="M29" s="64">
        <f>表1[[#This Row],[保险扣除额]]+表1[[#This Row],[其他常规扣除额]]</f>
        <v>-409.33333333333297</v>
      </c>
    </row>
  </sheetData>
  <mergeCells count="2">
    <mergeCell ref="A2:M2"/>
    <mergeCell ref="A3:F3"/>
  </mergeCells>
  <phoneticPr fontId="1" type="noConversion"/>
  <printOptions horizontalCentered="1"/>
  <pageMargins left="0.6" right="0.6" top="0.75" bottom="0.75" header="0.5" footer="0.5"/>
  <pageSetup paperSize="9" scale="65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2"/>
  <sheetViews>
    <sheetView showGridLines="0" workbookViewId="0">
      <selection sqref="A1:I2"/>
    </sheetView>
  </sheetViews>
  <sheetFormatPr defaultColWidth="9.33203125" defaultRowHeight="16.5"/>
  <cols>
    <col min="1" max="1" width="14.83203125" style="12" customWidth="1"/>
    <col min="2" max="2" width="22.83203125" style="12" customWidth="1"/>
    <col min="3" max="3" width="21.83203125" style="12" customWidth="1"/>
    <col min="4" max="4" width="19.1640625" style="12" customWidth="1"/>
    <col min="5" max="5" width="20.1640625" style="12" customWidth="1"/>
    <col min="6" max="6" width="20.5" style="12" customWidth="1"/>
    <col min="7" max="7" width="18" style="12" customWidth="1"/>
    <col min="8" max="8" width="23.83203125" style="12" customWidth="1"/>
    <col min="9" max="9" width="23.5" style="12" customWidth="1"/>
    <col min="10" max="10" width="20.1640625" style="12" customWidth="1"/>
    <col min="11" max="11" width="14.83203125" style="12" customWidth="1"/>
    <col min="12" max="12" width="18" style="13" customWidth="1"/>
    <col min="13" max="13" width="25.83203125" style="13" customWidth="1"/>
    <col min="14" max="16384" width="9.33203125" style="13"/>
  </cols>
  <sheetData>
    <row r="1" spans="1:11">
      <c r="A1" s="70" t="s">
        <v>16</v>
      </c>
      <c r="B1" s="70"/>
      <c r="C1" s="70"/>
      <c r="D1" s="70"/>
      <c r="E1" s="70"/>
      <c r="F1" s="70"/>
      <c r="G1" s="70"/>
      <c r="H1" s="70"/>
      <c r="I1" s="70"/>
    </row>
    <row r="2" spans="1:11" s="12" customFormat="1" ht="49.5" customHeight="1">
      <c r="A2" s="70"/>
      <c r="B2" s="70"/>
      <c r="C2" s="70"/>
      <c r="D2" s="70"/>
      <c r="E2" s="70"/>
      <c r="F2" s="70"/>
      <c r="G2" s="70"/>
      <c r="H2" s="70"/>
      <c r="I2" s="70"/>
      <c r="J2" s="14" t="s">
        <v>24</v>
      </c>
      <c r="K2" s="15">
        <v>45688</v>
      </c>
    </row>
    <row r="3" spans="1:11" s="18" customFormat="1" ht="30" customHeight="1">
      <c r="A3" s="71" t="str">
        <f>员工信息!$A$3</f>
        <v>[公司名称]</v>
      </c>
      <c r="B3" s="71"/>
      <c r="C3" s="71"/>
      <c r="D3" s="71"/>
      <c r="E3" s="71"/>
      <c r="F3" s="71"/>
      <c r="G3" s="12"/>
      <c r="H3" s="12"/>
      <c r="I3" s="12"/>
      <c r="J3" s="16"/>
      <c r="K3" s="17"/>
    </row>
    <row r="4" spans="1:11" s="19" customFormat="1" ht="29.25" customHeight="1">
      <c r="A4" s="65" t="s">
        <v>2</v>
      </c>
      <c r="B4" s="65" t="s">
        <v>3</v>
      </c>
      <c r="C4" s="65" t="s">
        <v>17</v>
      </c>
      <c r="D4" s="65" t="s">
        <v>18</v>
      </c>
      <c r="E4" s="65" t="s">
        <v>19</v>
      </c>
      <c r="F4" s="65" t="s">
        <v>20</v>
      </c>
      <c r="G4" s="65" t="s">
        <v>21</v>
      </c>
      <c r="H4" s="65" t="s">
        <v>22</v>
      </c>
      <c r="I4" s="65" t="s">
        <v>23</v>
      </c>
      <c r="J4" s="65" t="s">
        <v>25</v>
      </c>
      <c r="K4" s="65" t="s">
        <v>26</v>
      </c>
    </row>
    <row r="5" spans="1:11" s="20" customFormat="1" ht="18.95" customHeight="1">
      <c r="A5" s="9">
        <v>1</v>
      </c>
      <c r="B5" s="69" t="str">
        <f>VLOOKUP(A5,表1[],2,FALSE)</f>
        <v>卢宁</v>
      </c>
      <c r="C5" s="66">
        <v>50</v>
      </c>
      <c r="D5" s="66">
        <v>5</v>
      </c>
      <c r="E5" s="66">
        <v>1</v>
      </c>
      <c r="F5" s="66"/>
      <c r="G5" s="64"/>
      <c r="H5" s="64">
        <f>(VLOOKUP(A5,表1[],3,FALSE)*(表2[[#This Row],[正常工作时数]]+表2[[#This Row],[休假小时数]]+表2[[#This Row],[病假小时数]])+表2[[#This Row],[加班小时数]]*表2[[#This Row],[加班工资率]])</f>
        <v>560</v>
      </c>
      <c r="I5" s="64">
        <f>VLOOKUP(A5,表1[],10,FALSE)*表2[[#This Row],[工资总额]]+表1[[#This Row],[总常规扣除额
（不含税费）]]</f>
        <v>273.08000000000004</v>
      </c>
      <c r="J5" s="64">
        <v>20</v>
      </c>
      <c r="K5" s="64">
        <f>表2[[#This Row],[工资总额]]-表2[[#This Row],[税费和扣除额 ]]-表2[[#This Row],[其他扣除额]]</f>
        <v>266.91999999999996</v>
      </c>
    </row>
    <row r="6" spans="1:11" s="20" customFormat="1" ht="18.95" customHeight="1">
      <c r="A6" s="9">
        <v>2</v>
      </c>
      <c r="B6" s="69" t="str">
        <f>VLOOKUP(A6,表1[],2,FALSE)</f>
        <v>柯攸</v>
      </c>
      <c r="C6" s="66">
        <v>40</v>
      </c>
      <c r="D6" s="66">
        <v>0</v>
      </c>
      <c r="E6" s="66">
        <v>0</v>
      </c>
      <c r="F6" s="66"/>
      <c r="G6" s="64"/>
      <c r="H6" s="64">
        <f>(VLOOKUP(A6,表1[],3,FALSE)*(表2[[#This Row],[正常工作时数]]+表2[[#This Row],[休假小时数]]+表2[[#This Row],[病假小时数]])+表2[[#This Row],[加班小时数]]*表2[[#This Row],[加班工资率]])</f>
        <v>520</v>
      </c>
      <c r="I6" s="64">
        <f>VLOOKUP(A6,表1[],10,FALSE)*表2[[#This Row],[工资总额]]+表1[[#This Row],[总常规扣除额
（不含税费）]]</f>
        <v>269.86</v>
      </c>
      <c r="J6" s="64">
        <v>52</v>
      </c>
      <c r="K6" s="64">
        <f>表2[[#This Row],[工资总额]]-表2[[#This Row],[税费和扣除额 ]]-表2[[#This Row],[其他扣除额]]</f>
        <v>198.14</v>
      </c>
    </row>
    <row r="7" spans="1:11" s="20" customFormat="1" ht="18.95" customHeight="1">
      <c r="A7" s="9">
        <v>3</v>
      </c>
      <c r="B7" s="69" t="str">
        <f>VLOOKUP(A7,表1[],2,FALSE)</f>
        <v>康霓</v>
      </c>
      <c r="C7" s="66">
        <v>52</v>
      </c>
      <c r="D7" s="66">
        <v>0</v>
      </c>
      <c r="E7" s="66">
        <v>0</v>
      </c>
      <c r="F7" s="66">
        <v>2</v>
      </c>
      <c r="G7" s="64">
        <v>20</v>
      </c>
      <c r="H7" s="64">
        <f>(VLOOKUP(A7,表1[],3,FALSE)*(表2[[#This Row],[正常工作时数]]+表2[[#This Row],[休假小时数]]+表2[[#This Row],[病假小时数]])+表2[[#This Row],[加班小时数]]*表2[[#This Row],[加班工资率]])</f>
        <v>560</v>
      </c>
      <c r="I7" s="64">
        <f>VLOOKUP(A7,表1[],10,FALSE)*表2[[#This Row],[工资总额]]+表1[[#This Row],[总常规扣除额
（不含税费）]]</f>
        <v>233.08000000000004</v>
      </c>
      <c r="J7" s="64">
        <v>20</v>
      </c>
      <c r="K7" s="64">
        <f>表2[[#This Row],[工资总额]]-表2[[#This Row],[税费和扣除额 ]]-表2[[#This Row],[其他扣除额]]</f>
        <v>306.91999999999996</v>
      </c>
    </row>
    <row r="8" spans="1:11" s="20" customFormat="1" ht="18.95" customHeight="1">
      <c r="A8" s="18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s="20" customFormat="1" ht="18.95" customHeight="1">
      <c r="A9" s="18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s="20" customFormat="1" ht="18.95" customHeight="1">
      <c r="A10" s="18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s="20" customFormat="1" ht="18.95" customHeight="1">
      <c r="A11" s="18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20" customFormat="1" ht="18.95" customHeight="1">
      <c r="A12" s="18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s="20" customFormat="1" ht="18.95" customHeight="1">
      <c r="A13" s="18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s="20" customFormat="1" ht="18.95" customHeight="1">
      <c r="A14" s="18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s="20" customFormat="1" ht="18.95" customHeight="1">
      <c r="A15" s="18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s="20" customFormat="1" ht="18.95" customHeight="1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s="20" customFormat="1" ht="18.95" customHeight="1">
      <c r="A17" s="18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s="20" customFormat="1" ht="18.95" customHeight="1">
      <c r="A18" s="18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s="20" customFormat="1" ht="18.95" customHeight="1">
      <c r="A19" s="18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s="20" customFormat="1" ht="18.95" customHeight="1">
      <c r="A20" s="18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s="20" customFormat="1" ht="18.95" customHeight="1">
      <c r="A21" s="18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s="20" customFormat="1" ht="18.95" customHeight="1">
      <c r="A22" s="18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s="20" customFormat="1" ht="18.95" customHeight="1">
      <c r="A23" s="18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s="20" customFormat="1" ht="18.95" customHeight="1">
      <c r="A24" s="18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s="20" customFormat="1" ht="18.95" customHeight="1">
      <c r="A25" s="18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s="20" customFormat="1" ht="18.95" customHeight="1">
      <c r="A26" s="18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s="20" customFormat="1" ht="18.95" customHeight="1">
      <c r="A27" s="18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s="20" customFormat="1" ht="18.95" customHeight="1">
      <c r="A28" s="18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s="20" customFormat="1" ht="18.95" customHeight="1">
      <c r="A29" s="18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s="22" customFormat="1">
      <c r="A30" s="18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s="22" customFormat="1">
      <c r="A31" s="18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s="22" customFormat="1">
      <c r="A32" s="18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s="22" customFormat="1">
      <c r="A33" s="18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s="22" customFormat="1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s="22" customFormat="1">
      <c r="A35" s="18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s="22" customFormat="1">
      <c r="A36" s="18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s="22" customFormat="1">
      <c r="A37" s="18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s="22" customFormat="1">
      <c r="A38" s="18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s="22" customFormat="1">
      <c r="A39" s="18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s="22" customFormat="1">
      <c r="A40" s="18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s="22" customFormat="1">
      <c r="A41" s="18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s="22" customFormat="1">
      <c r="A42" s="18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s="22" customFormat="1">
      <c r="A43" s="18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s="22" customFormat="1">
      <c r="A44" s="18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s="22" customFormat="1">
      <c r="A45" s="12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s="22" customFormat="1">
      <c r="A46" s="12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s="22" customFormat="1">
      <c r="A47" s="12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s="22" customFormat="1">
      <c r="A48" s="12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s="22" customFormat="1">
      <c r="A49" s="12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s="22" customFormat="1">
      <c r="A50" s="12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s="22" customFormat="1">
      <c r="A51" s="12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s="22" customFormat="1">
      <c r="A52" s="12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s="22" customFormat="1">
      <c r="A53" s="12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22" customFormat="1">
      <c r="A54" s="12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22" customFormat="1">
      <c r="A55" s="12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22" customFormat="1">
      <c r="A56" s="12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22" customFormat="1">
      <c r="A57" s="12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22" customFormat="1">
      <c r="A58" s="12"/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 s="22" customFormat="1">
      <c r="A59" s="12"/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s="22" customFormat="1">
      <c r="A60" s="12"/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1" s="22" customFormat="1">
      <c r="A61" s="12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s="22" customFormat="1">
      <c r="A62" s="12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 s="22" customFormat="1">
      <c r="A63" s="12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1" s="22" customFormat="1">
      <c r="A64" s="12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s="22" customFormat="1">
      <c r="A65" s="12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1" s="22" customFormat="1">
      <c r="A66" s="12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1" s="22" customFormat="1">
      <c r="A67" s="12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 s="22" customFormat="1">
      <c r="A68" s="12"/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1" s="22" customFormat="1">
      <c r="A69" s="12"/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1" s="22" customForma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s="22" customForma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s="22" customForma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</sheetData>
  <mergeCells count="2">
    <mergeCell ref="A1:I2"/>
    <mergeCell ref="A3:F3"/>
  </mergeCells>
  <phoneticPr fontId="1" type="noConversion"/>
  <printOptions horizontalCentered="1"/>
  <pageMargins left="0.6" right="0.6" top="0.75" bottom="0.75" header="0.5" footer="0.5"/>
  <pageSetup paperSize="9" scale="80" fitToHeight="0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50"/>
  <sheetViews>
    <sheetView showGridLines="0" workbookViewId="0"/>
  </sheetViews>
  <sheetFormatPr defaultColWidth="9.33203125" defaultRowHeight="16.5"/>
  <cols>
    <col min="1" max="1" width="1.1640625" style="24" customWidth="1"/>
    <col min="2" max="2" width="2.5" style="24" customWidth="1"/>
    <col min="3" max="3" width="32.6640625" style="24" customWidth="1"/>
    <col min="4" max="4" width="13.83203125" style="24" customWidth="1"/>
    <col min="5" max="5" width="28.83203125" style="24" customWidth="1"/>
    <col min="6" max="7" width="24.83203125" style="24" customWidth="1"/>
    <col min="8" max="8" width="20.83203125" style="24" customWidth="1"/>
    <col min="9" max="9" width="2.6640625" style="24" customWidth="1"/>
    <col min="10" max="10" width="1.83203125" style="24" customWidth="1"/>
    <col min="11" max="16384" width="9.33203125" style="24"/>
  </cols>
  <sheetData>
    <row r="1" spans="2:9" ht="6.75" customHeight="1" thickBot="1"/>
    <row r="2" spans="2:9" s="27" customFormat="1" ht="33.950000000000003" customHeight="1" thickTop="1">
      <c r="B2" s="25"/>
      <c r="C2" s="72" t="str">
        <f>(员工信息!$A$3)</f>
        <v>[公司名称]</v>
      </c>
      <c r="D2" s="72"/>
      <c r="E2" s="72"/>
      <c r="F2" s="72"/>
      <c r="G2" s="72"/>
      <c r="H2" s="72"/>
      <c r="I2" s="26"/>
    </row>
    <row r="3" spans="2:9" s="35" customFormat="1" ht="14.1" customHeight="1">
      <c r="B3" s="28"/>
      <c r="C3" s="29" t="s">
        <v>24</v>
      </c>
      <c r="D3" s="30">
        <f>工资计算器!$K$2</f>
        <v>45688</v>
      </c>
      <c r="E3" s="31" t="s">
        <v>3</v>
      </c>
      <c r="F3" s="32" t="str">
        <f>IFERROR(VLOOKUP(H3,表1[],2),"")</f>
        <v>卢宁</v>
      </c>
      <c r="G3" s="31" t="s">
        <v>2</v>
      </c>
      <c r="H3" s="33">
        <v>1</v>
      </c>
      <c r="I3" s="34"/>
    </row>
    <row r="4" spans="2:9" s="35" customFormat="1" ht="9.9499999999999993" customHeight="1">
      <c r="B4" s="28"/>
      <c r="C4" s="36"/>
      <c r="D4" s="67"/>
      <c r="E4" s="36"/>
      <c r="F4" s="37"/>
      <c r="G4" s="38"/>
      <c r="H4" s="38"/>
      <c r="I4" s="34"/>
    </row>
    <row r="5" spans="2:9" s="45" customFormat="1" ht="14.1" customHeight="1">
      <c r="B5" s="39"/>
      <c r="C5" s="40" t="s">
        <v>8</v>
      </c>
      <c r="D5" s="41">
        <f>IFERROR(VLOOKUP(H3,表1[],4),"")</f>
        <v>1</v>
      </c>
      <c r="E5" s="40" t="s">
        <v>9</v>
      </c>
      <c r="F5" s="42">
        <f>IFERROR(VLOOKUP(H3,表1[],5,FALSE),"")</f>
        <v>4</v>
      </c>
      <c r="G5" s="43" t="s">
        <v>32</v>
      </c>
      <c r="H5" s="42">
        <f>IFERROR(VLOOKUP(H3,表2[],3,FALSE),"")</f>
        <v>50</v>
      </c>
      <c r="I5" s="44"/>
    </row>
    <row r="6" spans="2:9" s="45" customFormat="1" ht="14.1" customHeight="1">
      <c r="B6" s="39"/>
      <c r="C6" s="43" t="s">
        <v>27</v>
      </c>
      <c r="D6" s="46">
        <f>IFERROR(VLOOKUP(H3,表1[],3,FALSE),"")</f>
        <v>10</v>
      </c>
      <c r="E6" s="40" t="s">
        <v>21</v>
      </c>
      <c r="F6" s="47">
        <f>IFERROR(VLOOKUP(H3,表2[],7,FALSE),"")</f>
        <v>0</v>
      </c>
      <c r="G6" s="40" t="s">
        <v>19</v>
      </c>
      <c r="H6" s="42">
        <f>IFERROR(VLOOKUP(H3,表2[],5,FALSE),"")</f>
        <v>1</v>
      </c>
      <c r="I6" s="44"/>
    </row>
    <row r="7" spans="2:9" s="45" customFormat="1" ht="14.1" customHeight="1">
      <c r="B7" s="39"/>
      <c r="C7" s="40" t="s">
        <v>11</v>
      </c>
      <c r="D7" s="46">
        <f>IFERROR(IFERROR(VLOOKUP(H3,表1[],8,FALSE),"")*H9,"")</f>
        <v>35.28</v>
      </c>
      <c r="E7" s="40" t="s">
        <v>30</v>
      </c>
      <c r="F7" s="47">
        <f>IFERROR(IFERROR(VLOOKUP(H3,表1[],7,FALSE),"")*H9,"")</f>
        <v>156.80000000000001</v>
      </c>
      <c r="G7" s="40" t="s">
        <v>18</v>
      </c>
      <c r="H7" s="42">
        <f>IFERROR(VLOOKUP(H3,表2[],4,FALSE),"")</f>
        <v>5</v>
      </c>
      <c r="I7" s="44"/>
    </row>
    <row r="8" spans="2:9" s="45" customFormat="1" ht="14.1" customHeight="1">
      <c r="B8" s="39"/>
      <c r="C8" s="40" t="s">
        <v>28</v>
      </c>
      <c r="D8" s="46">
        <f>IFERROR(IFERROR(VLOOKUP(H3,表1[],9,FALSE),"")*H9,"")</f>
        <v>8.120000000000001</v>
      </c>
      <c r="E8" s="40" t="s">
        <v>31</v>
      </c>
      <c r="F8" s="47">
        <f>IFERROR(IFERROR(VLOOKUP(H3,表1[],6,FALSE),"")*H9,"")</f>
        <v>12.879999999999999</v>
      </c>
      <c r="G8" s="40" t="s">
        <v>20</v>
      </c>
      <c r="H8" s="42">
        <f>IFERROR(VLOOKUP(H3,表2[],6,FALSE),"")</f>
        <v>0</v>
      </c>
      <c r="I8" s="44"/>
    </row>
    <row r="9" spans="2:9" s="45" customFormat="1" ht="14.1" customHeight="1">
      <c r="B9" s="39"/>
      <c r="C9" s="40" t="s">
        <v>14</v>
      </c>
      <c r="D9" s="46">
        <f>IFERROR(VLOOKUP(H3,表1[],11,FALSE),"")</f>
        <v>20</v>
      </c>
      <c r="E9" s="40" t="s">
        <v>15</v>
      </c>
      <c r="F9" s="47">
        <f>IFERROR(VLOOKUP(H3,表1[],12,FALSE),"")</f>
        <v>40</v>
      </c>
      <c r="G9" s="40" t="s">
        <v>22</v>
      </c>
      <c r="H9" s="47">
        <f>IFERROR(VLOOKUP(H3,表2[],8,FALSE),"")</f>
        <v>560</v>
      </c>
      <c r="I9" s="48"/>
    </row>
    <row r="10" spans="2:9" s="45" customFormat="1" ht="14.1" customHeight="1">
      <c r="B10" s="39"/>
      <c r="C10" s="40" t="s">
        <v>29</v>
      </c>
      <c r="D10" s="46">
        <f>IFERROR(SUM(F7:F9)+SUM(D7:D9),"")</f>
        <v>273.08000000000004</v>
      </c>
      <c r="E10" s="40" t="s">
        <v>25</v>
      </c>
      <c r="F10" s="47">
        <f>IFERROR(VLOOKUP(H3,表2[],10,FALSE),"")</f>
        <v>20</v>
      </c>
      <c r="G10" s="40" t="s">
        <v>33</v>
      </c>
      <c r="H10" s="47">
        <f>IFERROR(IFERROR(VLOOKUP(H3,表2[],9,FALSE),"")+F10,"")</f>
        <v>293.08000000000004</v>
      </c>
      <c r="I10" s="48"/>
    </row>
    <row r="11" spans="2:9" s="45" customFormat="1" ht="14.1" customHeight="1">
      <c r="B11" s="39"/>
      <c r="C11" s="49"/>
      <c r="D11" s="50"/>
      <c r="E11" s="49"/>
      <c r="F11" s="50"/>
      <c r="G11" s="51" t="s">
        <v>26</v>
      </c>
      <c r="H11" s="52">
        <f>IFERROR(VLOOKUP(H3,表2[],11,FALSE),"")</f>
        <v>266.91999999999996</v>
      </c>
      <c r="I11" s="48"/>
    </row>
    <row r="12" spans="2:9" ht="12" customHeight="1">
      <c r="B12" s="53"/>
      <c r="C12" s="54"/>
      <c r="D12" s="55"/>
      <c r="E12" s="54"/>
      <c r="F12" s="55"/>
      <c r="G12" s="54"/>
      <c r="H12" s="55"/>
      <c r="I12" s="56"/>
    </row>
    <row r="13" spans="2:9" ht="14.1" customHeight="1" thickTop="1" thickBot="1"/>
    <row r="14" spans="2:9" s="57" customFormat="1" ht="33.950000000000003" customHeight="1" thickTop="1">
      <c r="B14" s="25"/>
      <c r="C14" s="72" t="str">
        <f>(员工信息!$A$3)</f>
        <v>[公司名称]</v>
      </c>
      <c r="D14" s="72"/>
      <c r="E14" s="72"/>
      <c r="F14" s="72"/>
      <c r="G14" s="72"/>
      <c r="H14" s="72"/>
      <c r="I14" s="26"/>
    </row>
    <row r="15" spans="2:9" s="45" customFormat="1" ht="14.1" customHeight="1">
      <c r="B15" s="28"/>
      <c r="C15" s="58" t="s">
        <v>24</v>
      </c>
      <c r="D15" s="30">
        <f>工资计算器!$K$2</f>
        <v>45688</v>
      </c>
      <c r="E15" s="59" t="s">
        <v>3</v>
      </c>
      <c r="F15" s="32" t="str">
        <f>IFERROR(VLOOKUP(H15,表1[],2),"")</f>
        <v>柯攸</v>
      </c>
      <c r="G15" s="59" t="s">
        <v>2</v>
      </c>
      <c r="H15" s="33">
        <v>2</v>
      </c>
      <c r="I15" s="34"/>
    </row>
    <row r="16" spans="2:9" s="45" customFormat="1" ht="9.9499999999999993" customHeight="1">
      <c r="B16" s="28"/>
      <c r="C16" s="1"/>
      <c r="D16" s="68"/>
      <c r="E16" s="1"/>
      <c r="F16" s="60"/>
      <c r="G16" s="61"/>
      <c r="H16" s="61"/>
      <c r="I16" s="34"/>
    </row>
    <row r="17" spans="2:9" s="35" customFormat="1" ht="14.1" customHeight="1">
      <c r="B17" s="39"/>
      <c r="C17" s="40" t="s">
        <v>8</v>
      </c>
      <c r="D17" s="41">
        <f>IFERROR(VLOOKUP(H15,表1[],4),"")</f>
        <v>1</v>
      </c>
      <c r="E17" s="40" t="s">
        <v>9</v>
      </c>
      <c r="F17" s="42">
        <f>IFERROR(VLOOKUP(H15,表1[],5,FALSE),"")</f>
        <v>4</v>
      </c>
      <c r="G17" s="43" t="s">
        <v>32</v>
      </c>
      <c r="H17" s="42">
        <f>IFERROR(VLOOKUP(H15,表2[],3,FALSE),"")</f>
        <v>40</v>
      </c>
      <c r="I17" s="44"/>
    </row>
    <row r="18" spans="2:9" s="35" customFormat="1" ht="14.1" customHeight="1">
      <c r="B18" s="39"/>
      <c r="C18" s="43" t="s">
        <v>27</v>
      </c>
      <c r="D18" s="46">
        <f>IFERROR(VLOOKUP(H15,表1[],3,FALSE),"")</f>
        <v>13</v>
      </c>
      <c r="E18" s="40" t="s">
        <v>21</v>
      </c>
      <c r="F18" s="47">
        <f>IFERROR(VLOOKUP(H15,表2[],7,FALSE),"")</f>
        <v>0</v>
      </c>
      <c r="G18" s="40" t="s">
        <v>19</v>
      </c>
      <c r="H18" s="42">
        <f>IFERROR(VLOOKUP(H15,表2[],5,FALSE),"")</f>
        <v>0</v>
      </c>
      <c r="I18" s="44"/>
    </row>
    <row r="19" spans="2:9" s="35" customFormat="1" ht="14.1" customHeight="1">
      <c r="B19" s="39"/>
      <c r="C19" s="40" t="s">
        <v>11</v>
      </c>
      <c r="D19" s="46">
        <f>IFERROR(IFERROR(VLOOKUP(H15,表1[],8,FALSE),"")*H21,"")</f>
        <v>32.76</v>
      </c>
      <c r="E19" s="40" t="s">
        <v>30</v>
      </c>
      <c r="F19" s="47">
        <f>IFERROR(IFERROR(VLOOKUP(H15,表1[],7,FALSE),"")*H21,"")</f>
        <v>145.60000000000002</v>
      </c>
      <c r="G19" s="40" t="s">
        <v>18</v>
      </c>
      <c r="H19" s="42">
        <f>IFERROR(VLOOKUP(H15,表2[],4,FALSE),"")</f>
        <v>0</v>
      </c>
      <c r="I19" s="44"/>
    </row>
    <row r="20" spans="2:9" s="35" customFormat="1" ht="14.1" customHeight="1">
      <c r="B20" s="39"/>
      <c r="C20" s="40" t="s">
        <v>28</v>
      </c>
      <c r="D20" s="46">
        <f>IFERROR(IFERROR(VLOOKUP(H15,表1[],9,FALSE),"")*H21,"")</f>
        <v>7.54</v>
      </c>
      <c r="E20" s="40" t="s">
        <v>31</v>
      </c>
      <c r="F20" s="47">
        <f>IFERROR(IFERROR(VLOOKUP(H15,表1[],6,FALSE),"")*H21,"")</f>
        <v>11.959999999999999</v>
      </c>
      <c r="G20" s="40" t="s">
        <v>20</v>
      </c>
      <c r="H20" s="42">
        <f>IFERROR(VLOOKUP(H15,表2[],6,FALSE),"")</f>
        <v>0</v>
      </c>
      <c r="I20" s="44"/>
    </row>
    <row r="21" spans="2:9" s="35" customFormat="1" ht="14.1" customHeight="1">
      <c r="B21" s="39"/>
      <c r="C21" s="40" t="s">
        <v>14</v>
      </c>
      <c r="D21" s="46">
        <f>IFERROR(VLOOKUP(H15,表1[],11,FALSE),"")</f>
        <v>20</v>
      </c>
      <c r="E21" s="40" t="s">
        <v>15</v>
      </c>
      <c r="F21" s="47">
        <f>IFERROR(VLOOKUP(H15,表1[],12,FALSE),"")</f>
        <v>52</v>
      </c>
      <c r="G21" s="40" t="s">
        <v>22</v>
      </c>
      <c r="H21" s="47">
        <f>IFERROR(VLOOKUP(H15,表2[],8,FALSE),"")</f>
        <v>520</v>
      </c>
      <c r="I21" s="48"/>
    </row>
    <row r="22" spans="2:9" s="35" customFormat="1" ht="14.1" customHeight="1">
      <c r="B22" s="39"/>
      <c r="C22" s="40" t="s">
        <v>29</v>
      </c>
      <c r="D22" s="46">
        <f>IFERROR(SUM(F19:F21)+SUM(D19:D21),"")</f>
        <v>269.86</v>
      </c>
      <c r="E22" s="40" t="s">
        <v>25</v>
      </c>
      <c r="F22" s="47">
        <f>IFERROR(VLOOKUP(H15,表2[],10,FALSE),"")</f>
        <v>52</v>
      </c>
      <c r="G22" s="40" t="s">
        <v>33</v>
      </c>
      <c r="H22" s="47">
        <f>IFERROR(IFERROR(VLOOKUP(H15,表2[],9,FALSE),"")+F22,"")</f>
        <v>321.86</v>
      </c>
      <c r="I22" s="48"/>
    </row>
    <row r="23" spans="2:9" s="35" customFormat="1" ht="14.1" customHeight="1">
      <c r="B23" s="39"/>
      <c r="C23" s="49"/>
      <c r="D23" s="50"/>
      <c r="E23" s="49"/>
      <c r="F23" s="50"/>
      <c r="G23" s="51" t="s">
        <v>26</v>
      </c>
      <c r="H23" s="52">
        <f>IFERROR(VLOOKUP(H15,表2[],11,FALSE),"")</f>
        <v>198.14</v>
      </c>
      <c r="I23" s="48"/>
    </row>
    <row r="24" spans="2:9" ht="12" customHeight="1" thickBot="1">
      <c r="B24" s="53"/>
      <c r="C24" s="54"/>
      <c r="D24" s="55"/>
      <c r="E24" s="54"/>
      <c r="F24" s="55"/>
      <c r="G24" s="54"/>
      <c r="H24" s="55"/>
      <c r="I24" s="56"/>
    </row>
    <row r="25" spans="2:9" ht="14.1" customHeight="1" thickTop="1" thickBot="1"/>
    <row r="26" spans="2:9" s="57" customFormat="1" ht="33.950000000000003" customHeight="1" thickTop="1">
      <c r="B26" s="25"/>
      <c r="C26" s="72" t="str">
        <f>(员工信息!$A$3)</f>
        <v>[公司名称]</v>
      </c>
      <c r="D26" s="72"/>
      <c r="E26" s="72"/>
      <c r="F26" s="72"/>
      <c r="G26" s="72"/>
      <c r="H26" s="72"/>
      <c r="I26" s="26"/>
    </row>
    <row r="27" spans="2:9" s="35" customFormat="1" ht="14.1" customHeight="1">
      <c r="B27" s="28"/>
      <c r="C27" s="29" t="s">
        <v>24</v>
      </c>
      <c r="D27" s="62">
        <f>工资计算器!$K$2</f>
        <v>45688</v>
      </c>
      <c r="E27" s="31" t="s">
        <v>3</v>
      </c>
      <c r="F27" s="32" t="str">
        <f>IFERROR(VLOOKUP(H27,表1[],2),"")</f>
        <v>康霓</v>
      </c>
      <c r="G27" s="59" t="s">
        <v>2</v>
      </c>
      <c r="H27" s="33">
        <v>3</v>
      </c>
      <c r="I27" s="34"/>
    </row>
    <row r="28" spans="2:9" s="35" customFormat="1" ht="9.9499999999999993" customHeight="1">
      <c r="B28" s="28"/>
      <c r="C28" s="36"/>
      <c r="D28" s="67"/>
      <c r="E28" s="36"/>
      <c r="F28" s="37"/>
      <c r="G28" s="38"/>
      <c r="H28" s="38"/>
      <c r="I28" s="34"/>
    </row>
    <row r="29" spans="2:9" s="35" customFormat="1" ht="14.1" customHeight="1">
      <c r="B29" s="39"/>
      <c r="C29" s="40" t="s">
        <v>8</v>
      </c>
      <c r="D29" s="42">
        <f>IFERROR(VLOOKUP(H27,表1[],4),"")</f>
        <v>1</v>
      </c>
      <c r="E29" s="40" t="s">
        <v>9</v>
      </c>
      <c r="F29" s="42">
        <f>IFERROR(VLOOKUP(H27,表1[],5,FALSE),"")</f>
        <v>4</v>
      </c>
      <c r="G29" s="43" t="s">
        <v>32</v>
      </c>
      <c r="H29" s="42">
        <f>IFERROR(VLOOKUP(H27,表2[],3,FALSE),"")</f>
        <v>52</v>
      </c>
      <c r="I29" s="44"/>
    </row>
    <row r="30" spans="2:9" s="35" customFormat="1" ht="14.1" customHeight="1">
      <c r="B30" s="39"/>
      <c r="C30" s="43" t="s">
        <v>27</v>
      </c>
      <c r="D30" s="47">
        <f>IFERROR(VLOOKUP(H27,表1[],3,FALSE),"")</f>
        <v>10</v>
      </c>
      <c r="E30" s="40" t="s">
        <v>21</v>
      </c>
      <c r="F30" s="47">
        <f>IFERROR(VLOOKUP(H27,表2[],7,FALSE),"")</f>
        <v>20</v>
      </c>
      <c r="G30" s="40" t="s">
        <v>19</v>
      </c>
      <c r="H30" s="42">
        <f>IFERROR(VLOOKUP(H27,表2[],5,FALSE),"")</f>
        <v>0</v>
      </c>
      <c r="I30" s="44"/>
    </row>
    <row r="31" spans="2:9" s="35" customFormat="1" ht="14.1" customHeight="1">
      <c r="B31" s="39"/>
      <c r="C31" s="40" t="s">
        <v>11</v>
      </c>
      <c r="D31" s="47">
        <f>IFERROR(IFERROR(VLOOKUP(H27,表1[],8,FALSE),"")*H33,"")</f>
        <v>35.28</v>
      </c>
      <c r="E31" s="40" t="s">
        <v>30</v>
      </c>
      <c r="F31" s="47">
        <f>IFERROR(IFERROR(VLOOKUP(H27,表1[],7,FALSE),"")*H33,"")</f>
        <v>156.80000000000001</v>
      </c>
      <c r="G31" s="40" t="s">
        <v>18</v>
      </c>
      <c r="H31" s="42">
        <f>IFERROR(VLOOKUP(H27,表2[],4,FALSE),"")</f>
        <v>0</v>
      </c>
      <c r="I31" s="44"/>
    </row>
    <row r="32" spans="2:9" s="35" customFormat="1" ht="14.1" customHeight="1">
      <c r="B32" s="39"/>
      <c r="C32" s="40" t="s">
        <v>28</v>
      </c>
      <c r="D32" s="47">
        <f>IFERROR(IFERROR(VLOOKUP(H27,表1[],9,FALSE),"")*H33,"")</f>
        <v>8.120000000000001</v>
      </c>
      <c r="E32" s="40" t="s">
        <v>31</v>
      </c>
      <c r="F32" s="47">
        <f>IFERROR(IFERROR(VLOOKUP(H27,表1[],6,FALSE),"")*H33,"")</f>
        <v>12.879999999999999</v>
      </c>
      <c r="G32" s="40" t="s">
        <v>20</v>
      </c>
      <c r="H32" s="42">
        <f>IFERROR(VLOOKUP(H27,表2[],6,FALSE),"")</f>
        <v>2</v>
      </c>
      <c r="I32" s="44"/>
    </row>
    <row r="33" spans="2:9" s="35" customFormat="1" ht="14.1" customHeight="1">
      <c r="B33" s="39"/>
      <c r="C33" s="40" t="s">
        <v>14</v>
      </c>
      <c r="D33" s="47">
        <f>IFERROR(VLOOKUP(H27,表1[],11,FALSE),"")</f>
        <v>20</v>
      </c>
      <c r="E33" s="40" t="s">
        <v>15</v>
      </c>
      <c r="F33" s="47">
        <f>IFERROR(VLOOKUP(H27,表1[],12,FALSE),"")</f>
        <v>0</v>
      </c>
      <c r="G33" s="40" t="s">
        <v>22</v>
      </c>
      <c r="H33" s="47">
        <f>IFERROR(VLOOKUP(H27,表2[],8,FALSE),"")</f>
        <v>560</v>
      </c>
      <c r="I33" s="48"/>
    </row>
    <row r="34" spans="2:9" s="35" customFormat="1" ht="14.1" customHeight="1">
      <c r="B34" s="39"/>
      <c r="C34" s="40" t="s">
        <v>29</v>
      </c>
      <c r="D34" s="47">
        <f>IFERROR(SUM(F31:F33)+SUM(D31:D33),"")</f>
        <v>233.08</v>
      </c>
      <c r="E34" s="40" t="s">
        <v>25</v>
      </c>
      <c r="F34" s="47">
        <f>IFERROR(VLOOKUP(H27,表2[],10,FALSE),"")</f>
        <v>20</v>
      </c>
      <c r="G34" s="40" t="s">
        <v>33</v>
      </c>
      <c r="H34" s="47">
        <f>IFERROR(IFERROR(VLOOKUP(H27,表2[],9,FALSE),"")+F34,"")</f>
        <v>253.08000000000004</v>
      </c>
      <c r="I34" s="48"/>
    </row>
    <row r="35" spans="2:9" s="35" customFormat="1" ht="14.1" customHeight="1">
      <c r="B35" s="39"/>
      <c r="C35" s="49"/>
      <c r="D35" s="50"/>
      <c r="E35" s="49"/>
      <c r="F35" s="50"/>
      <c r="G35" s="51" t="s">
        <v>26</v>
      </c>
      <c r="H35" s="52">
        <f>IFERROR(VLOOKUP(H27,表2[],11,FALSE),"")</f>
        <v>306.91999999999996</v>
      </c>
      <c r="I35" s="48"/>
    </row>
    <row r="36" spans="2:9" s="35" customFormat="1" ht="12" customHeight="1" thickBot="1">
      <c r="B36" s="53"/>
      <c r="C36" s="54"/>
      <c r="D36" s="55"/>
      <c r="E36" s="54"/>
      <c r="F36" s="55"/>
      <c r="G36" s="54"/>
      <c r="H36" s="55"/>
      <c r="I36" s="56"/>
    </row>
    <row r="37" spans="2:9" ht="6.95" customHeight="1" thickTop="1"/>
    <row r="38" spans="2:9" s="5" customFormat="1" ht="6.95" customHeight="1" thickBot="1"/>
    <row r="39" spans="2:9" s="57" customFormat="1" ht="33.950000000000003" customHeight="1" thickTop="1">
      <c r="B39" s="25"/>
      <c r="C39" s="72" t="str">
        <f>(员工信息!$A$3)</f>
        <v>[公司名称]</v>
      </c>
      <c r="D39" s="72"/>
      <c r="E39" s="72"/>
      <c r="F39" s="72"/>
      <c r="G39" s="72"/>
      <c r="H39" s="72"/>
      <c r="I39" s="26"/>
    </row>
    <row r="40" spans="2:9" s="35" customFormat="1" ht="14.1" customHeight="1">
      <c r="B40" s="28"/>
      <c r="C40" s="29" t="s">
        <v>24</v>
      </c>
      <c r="D40" s="62">
        <f>工资计算器!$K$2</f>
        <v>45688</v>
      </c>
      <c r="E40" s="31" t="s">
        <v>3</v>
      </c>
      <c r="F40" s="32" t="str">
        <f>IFERROR(VLOOKUP(H40,表1[],2),"")</f>
        <v/>
      </c>
      <c r="G40" s="59" t="s">
        <v>2</v>
      </c>
      <c r="H40" s="33"/>
      <c r="I40" s="34"/>
    </row>
    <row r="41" spans="2:9" s="35" customFormat="1" ht="9.9499999999999993" customHeight="1">
      <c r="B41" s="28"/>
      <c r="C41" s="36"/>
      <c r="D41" s="67"/>
      <c r="E41" s="36"/>
      <c r="F41" s="37"/>
      <c r="G41" s="38"/>
      <c r="H41" s="38"/>
      <c r="I41" s="34"/>
    </row>
    <row r="42" spans="2:9" s="35" customFormat="1" ht="14.1" customHeight="1">
      <c r="B42" s="39"/>
      <c r="C42" s="40" t="s">
        <v>8</v>
      </c>
      <c r="D42" s="42" t="str">
        <f>IFERROR(VLOOKUP(H40,表1[],4),"")</f>
        <v/>
      </c>
      <c r="E42" s="40" t="s">
        <v>9</v>
      </c>
      <c r="F42" s="41" t="str">
        <f>IFERROR(VLOOKUP(H40,表1[],5,FALSE),"")</f>
        <v/>
      </c>
      <c r="G42" s="43" t="s">
        <v>32</v>
      </c>
      <c r="H42" s="42" t="str">
        <f>IFERROR(VLOOKUP(H40,表2[],3,FALSE),"")</f>
        <v/>
      </c>
      <c r="I42" s="44"/>
    </row>
    <row r="43" spans="2:9" s="35" customFormat="1" ht="14.1" customHeight="1">
      <c r="B43" s="39"/>
      <c r="C43" s="43" t="s">
        <v>27</v>
      </c>
      <c r="D43" s="47" t="str">
        <f>IFERROR(VLOOKUP(H40,表1[],3,FALSE),"")</f>
        <v/>
      </c>
      <c r="E43" s="40" t="s">
        <v>21</v>
      </c>
      <c r="F43" s="46" t="str">
        <f>IFERROR(VLOOKUP(H40,表2[],7,FALSE),"")</f>
        <v/>
      </c>
      <c r="G43" s="40" t="s">
        <v>19</v>
      </c>
      <c r="H43" s="42" t="str">
        <f>IFERROR(VLOOKUP(H40,表2[],5,FALSE),"")</f>
        <v/>
      </c>
      <c r="I43" s="44"/>
    </row>
    <row r="44" spans="2:9" s="35" customFormat="1" ht="14.1" customHeight="1">
      <c r="B44" s="39"/>
      <c r="C44" s="40" t="s">
        <v>11</v>
      </c>
      <c r="D44" s="47" t="str">
        <f>IFERROR(IFERROR(VLOOKUP(H40,表1[],8,FALSE),"")*H46,"")</f>
        <v/>
      </c>
      <c r="E44" s="40" t="s">
        <v>30</v>
      </c>
      <c r="F44" s="46" t="str">
        <f>IFERROR(IFERROR(VLOOKUP(H40,表1[],7,FALSE),"")*H46,"")</f>
        <v/>
      </c>
      <c r="G44" s="40" t="s">
        <v>18</v>
      </c>
      <c r="H44" s="42" t="str">
        <f>IFERROR(VLOOKUP(H40,表2[],4,FALSE),"")</f>
        <v/>
      </c>
      <c r="I44" s="44"/>
    </row>
    <row r="45" spans="2:9" s="35" customFormat="1" ht="14.1" customHeight="1">
      <c r="B45" s="39"/>
      <c r="C45" s="40" t="s">
        <v>28</v>
      </c>
      <c r="D45" s="47" t="str">
        <f>IFERROR(IFERROR(VLOOKUP(H40,表1[],9,FALSE),"")*H46,"")</f>
        <v/>
      </c>
      <c r="E45" s="40" t="s">
        <v>31</v>
      </c>
      <c r="F45" s="46" t="str">
        <f>IFERROR(IFERROR(VLOOKUP(H40,表1[],6,FALSE),"")*H46,"")</f>
        <v/>
      </c>
      <c r="G45" s="40" t="s">
        <v>20</v>
      </c>
      <c r="H45" s="42" t="str">
        <f>IFERROR(VLOOKUP(H40,表2[],6,FALSE),"")</f>
        <v/>
      </c>
      <c r="I45" s="44"/>
    </row>
    <row r="46" spans="2:9" s="35" customFormat="1" ht="14.1" customHeight="1">
      <c r="B46" s="39"/>
      <c r="C46" s="40" t="s">
        <v>14</v>
      </c>
      <c r="D46" s="47" t="str">
        <f>IFERROR(VLOOKUP(H40,表1[],11,FALSE),"")</f>
        <v/>
      </c>
      <c r="E46" s="40" t="s">
        <v>15</v>
      </c>
      <c r="F46" s="46" t="str">
        <f>IFERROR(VLOOKUP(H40,表1[],12,FALSE),"")</f>
        <v/>
      </c>
      <c r="G46" s="40" t="s">
        <v>22</v>
      </c>
      <c r="H46" s="47" t="str">
        <f>IFERROR(VLOOKUP(H40,表2[],8,FALSE),"")</f>
        <v/>
      </c>
      <c r="I46" s="48"/>
    </row>
    <row r="47" spans="2:9" s="35" customFormat="1" ht="14.1" customHeight="1">
      <c r="B47" s="39"/>
      <c r="C47" s="40" t="s">
        <v>29</v>
      </c>
      <c r="D47" s="47">
        <f>IFERROR(SUM(F44:F46)+SUM(D44:D46),"")</f>
        <v>0</v>
      </c>
      <c r="E47" s="40" t="s">
        <v>25</v>
      </c>
      <c r="F47" s="46" t="str">
        <f>IFERROR(VLOOKUP(H40,表2[],10,FALSE),"")</f>
        <v/>
      </c>
      <c r="G47" s="40" t="s">
        <v>33</v>
      </c>
      <c r="H47" s="47" t="str">
        <f>IFERROR(IFERROR(VLOOKUP(H40,表2[],9,FALSE),"")+F47,"")</f>
        <v/>
      </c>
      <c r="I47" s="48"/>
    </row>
    <row r="48" spans="2:9" s="35" customFormat="1" ht="14.1" customHeight="1">
      <c r="B48" s="39"/>
      <c r="C48" s="49"/>
      <c r="D48" s="50"/>
      <c r="E48" s="49"/>
      <c r="F48" s="63"/>
      <c r="G48" s="51" t="s">
        <v>26</v>
      </c>
      <c r="H48" s="52" t="str">
        <f>IFERROR(VLOOKUP(H40,表2[],11,FALSE),"")</f>
        <v/>
      </c>
      <c r="I48" s="48"/>
    </row>
    <row r="49" spans="2:9" ht="12" customHeight="1" thickBot="1">
      <c r="B49" s="53"/>
      <c r="C49" s="54"/>
      <c r="D49" s="55"/>
      <c r="E49" s="54"/>
      <c r="F49" s="55"/>
      <c r="G49" s="54"/>
      <c r="H49" s="55"/>
      <c r="I49" s="56"/>
    </row>
    <row r="50" spans="2:9" ht="17.25" thickTop="1"/>
  </sheetData>
  <mergeCells count="4">
    <mergeCell ref="C2:H2"/>
    <mergeCell ref="C14:H14"/>
    <mergeCell ref="C26:H26"/>
    <mergeCell ref="C39:H39"/>
  </mergeCells>
  <phoneticPr fontId="1" type="noConversion"/>
  <printOptions horizontalCentered="1"/>
  <pageMargins left="0.6" right="0.6" top="0.75" bottom="0.75" header="0.5" footer="0.5"/>
  <pageSetup paperSize="9" fitToHeight="0" orientation="landscape" r:id="rId1"/>
  <headerFooter alignWithMargins="0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4873beb7-5857-4685-be1f-d57550cc96cc" xsi:nil="true"/>
    <ApprovalStatus xmlns="4873beb7-5857-4685-be1f-d57550cc96cc">InProgress</ApprovalStatus>
    <DirectSourceMarket xmlns="4873beb7-5857-4685-be1f-d57550cc96cc" xsi:nil="true"/>
    <PrimaryImageGen xmlns="4873beb7-5857-4685-be1f-d57550cc96cc">true</PrimaryImageGen>
    <ThumbnailAssetId xmlns="4873beb7-5857-4685-be1f-d57550cc96cc" xsi:nil="true"/>
    <NumericId xmlns="4873beb7-5857-4685-be1f-d57550cc96cc">-1</NumericId>
    <TPFriendlyName xmlns="4873beb7-5857-4685-be1f-d57550cc96cc">Payroll calculator</TPFriendlyName>
    <BusinessGroup xmlns="4873beb7-5857-4685-be1f-d57550cc96cc" xsi:nil="true"/>
    <APEditor xmlns="4873beb7-5857-4685-be1f-d57550cc96cc">
      <UserInfo>
        <DisplayName>REDMOND\v-luannv</DisplayName>
        <AccountId>92</AccountId>
        <AccountType/>
      </UserInfo>
    </APEditor>
    <SourceTitle xmlns="4873beb7-5857-4685-be1f-d57550cc96cc">Payroll calculator</SourceTitle>
    <OpenTemplate xmlns="4873beb7-5857-4685-be1f-d57550cc96cc">true</OpenTemplate>
    <UALocComments xmlns="4873beb7-5857-4685-be1f-d57550cc96cc" xsi:nil="true"/>
    <ParentAssetId xmlns="4873beb7-5857-4685-be1f-d57550cc96cc" xsi:nil="true"/>
    <IntlLangReviewDate xmlns="4873beb7-5857-4685-be1f-d57550cc96cc" xsi:nil="true"/>
    <PublishStatusLookup xmlns="4873beb7-5857-4685-be1f-d57550cc96cc">
      <Value>273352</Value>
      <Value>1284210</Value>
    </PublishStatusLookup>
    <MachineTranslated xmlns="4873beb7-5857-4685-be1f-d57550cc96cc">false</MachineTranslated>
    <OriginalSourceMarket xmlns="4873beb7-5857-4685-be1f-d57550cc96cc" xsi:nil="true"/>
    <TPInstallLocation xmlns="4873beb7-5857-4685-be1f-d57550cc96cc">{My Templates}</TPInstallLocation>
    <APDescription xmlns="4873beb7-5857-4685-be1f-d57550cc96cc" xsi:nil="true"/>
    <ContentItem xmlns="4873beb7-5857-4685-be1f-d57550cc96cc" xsi:nil="true"/>
    <ClipArtFilename xmlns="4873beb7-5857-4685-be1f-d57550cc96cc" xsi:nil="true"/>
    <APAuthor xmlns="4873beb7-5857-4685-be1f-d57550cc96cc">
      <UserInfo>
        <DisplayName>REDMOND\cynvey</DisplayName>
        <AccountId>191</AccountId>
        <AccountType/>
      </UserInfo>
    </APAuthor>
    <TPAppVersion xmlns="4873beb7-5857-4685-be1f-d57550cc96cc">11</TPAppVersion>
    <TPCommandLine xmlns="4873beb7-5857-4685-be1f-d57550cc96cc">{XL} /t {FilePath}</TPCommandLine>
    <PublishTargets xmlns="4873beb7-5857-4685-be1f-d57550cc96cc">OfficeOnline</PublishTargets>
    <TPLaunchHelpLinkType xmlns="4873beb7-5857-4685-be1f-d57550cc96cc">Template</TPLaunchHelpLinkType>
    <TimesCloned xmlns="4873beb7-5857-4685-be1f-d57550cc96cc" xsi:nil="true"/>
    <EditorialStatus xmlns="4873beb7-5857-4685-be1f-d57550cc96cc" xsi:nil="true"/>
    <LastModifiedDateTime xmlns="4873beb7-5857-4685-be1f-d57550cc96cc" xsi:nil="true"/>
    <Provider xmlns="4873beb7-5857-4685-be1f-d57550cc96cc">EY006220130</Provider>
    <AcquiredFrom xmlns="4873beb7-5857-4685-be1f-d57550cc96cc" xsi:nil="true"/>
    <AssetStart xmlns="4873beb7-5857-4685-be1f-d57550cc96cc">2009-05-30T21:52:55+00:00</AssetStart>
    <LastHandOff xmlns="4873beb7-5857-4685-be1f-d57550cc96cc" xsi:nil="true"/>
    <ArtSampleDocs xmlns="4873beb7-5857-4685-be1f-d57550cc96cc" xsi:nil="true"/>
    <TPClientViewer xmlns="4873beb7-5857-4685-be1f-d57550cc96cc">Microsoft Office Excel</TPClientViewer>
    <UACurrentWords xmlns="4873beb7-5857-4685-be1f-d57550cc96cc">0</UACurrentWords>
    <UALocRecommendation xmlns="4873beb7-5857-4685-be1f-d57550cc96cc">Localize</UALocRecommendation>
    <IsDeleted xmlns="4873beb7-5857-4685-be1f-d57550cc96cc">false</IsDeleted>
    <ShowIn xmlns="4873beb7-5857-4685-be1f-d57550cc96cc">Show everywhere</ShowIn>
    <TemplateStatus xmlns="4873beb7-5857-4685-be1f-d57550cc96cc">Complete</TemplateStatus>
    <UANotes xmlns="4873beb7-5857-4685-be1f-d57550cc96cc" xsi:nil="true"/>
    <CSXHash xmlns="4873beb7-5857-4685-be1f-d57550cc96cc" xsi:nil="true"/>
    <VoteCount xmlns="4873beb7-5857-4685-be1f-d57550cc96cc" xsi:nil="true"/>
    <AssetExpire xmlns="4873beb7-5857-4685-be1f-d57550cc96cc">2100-01-01T00:00:00+00:00</AssetExpire>
    <CSXSubmissionMarket xmlns="4873beb7-5857-4685-be1f-d57550cc96cc" xsi:nil="true"/>
    <DSATActionTaken xmlns="4873beb7-5857-4685-be1f-d57550cc96cc" xsi:nil="true"/>
    <TPExecutable xmlns="4873beb7-5857-4685-be1f-d57550cc96cc" xsi:nil="true"/>
    <SubmitterId xmlns="4873beb7-5857-4685-be1f-d57550cc96cc" xsi:nil="true"/>
    <AssetType xmlns="4873beb7-5857-4685-be1f-d57550cc96cc">TP</AssetType>
    <CSXSubmissionDate xmlns="4873beb7-5857-4685-be1f-d57550cc96cc" xsi:nil="true"/>
    <CSXUpdate xmlns="4873beb7-5857-4685-be1f-d57550cc96cc">false</CSXUpdate>
    <ApprovalLog xmlns="4873beb7-5857-4685-be1f-d57550cc96cc" xsi:nil="true"/>
    <BugNumber xmlns="4873beb7-5857-4685-be1f-d57550cc96cc" xsi:nil="true"/>
    <Milestone xmlns="4873beb7-5857-4685-be1f-d57550cc96cc" xsi:nil="true"/>
    <OriginAsset xmlns="4873beb7-5857-4685-be1f-d57550cc96cc" xsi:nil="true"/>
    <TPComponent xmlns="4873beb7-5857-4685-be1f-d57550cc96cc">EXCELFiles</TPComponent>
    <AssetId xmlns="4873beb7-5857-4685-be1f-d57550cc96cc">TP010193213</AssetId>
    <TPApplication xmlns="4873beb7-5857-4685-be1f-d57550cc96cc">Excel</TPApplication>
    <TPLaunchHelpLink xmlns="4873beb7-5857-4685-be1f-d57550cc96cc" xsi:nil="true"/>
    <IntlLocPriority xmlns="4873beb7-5857-4685-be1f-d57550cc96cc" xsi:nil="true"/>
    <CrawlForDependencies xmlns="4873beb7-5857-4685-be1f-d57550cc96cc">false</CrawlForDependencies>
    <PlannedPubDate xmlns="4873beb7-5857-4685-be1f-d57550cc96cc">2006-09-15T07:00:00+00:00</PlannedPubDate>
    <IntlLangReviewer xmlns="4873beb7-5857-4685-be1f-d57550cc96cc" xsi:nil="true"/>
    <HandoffToMSDN xmlns="4873beb7-5857-4685-be1f-d57550cc96cc" xsi:nil="true"/>
    <TrustLevel xmlns="4873beb7-5857-4685-be1f-d57550cc96cc">1 Microsoft Managed Content</TrustLevel>
    <IsSearchable xmlns="4873beb7-5857-4685-be1f-d57550cc96cc">false</IsSearchable>
    <TPNamespace xmlns="4873beb7-5857-4685-be1f-d57550cc96cc">EXCEL</TPNamespace>
    <Markets xmlns="4873beb7-5857-4685-be1f-d57550cc96cc"/>
    <IntlLangReview xmlns="4873beb7-5857-4685-be1f-d57550cc96cc" xsi:nil="true"/>
    <UAProjectedTotalWords xmlns="4873beb7-5857-4685-be1f-d57550cc96cc" xsi:nil="true"/>
    <OutputCachingOn xmlns="4873beb7-5857-4685-be1f-d57550cc96cc">false</OutputCachingOn>
    <AverageRating xmlns="4873beb7-5857-4685-be1f-d57550cc96cc" xsi:nil="true"/>
    <LastPublishResultLookup xmlns="4873beb7-5857-4685-be1f-d57550cc96cc" xsi:nil="true"/>
    <PolicheckWords xmlns="4873beb7-5857-4685-be1f-d57550cc96cc" xsi:nil="true"/>
    <FriendlyTitle xmlns="4873beb7-5857-4685-be1f-d57550cc96cc" xsi:nil="true"/>
    <Manager xmlns="4873beb7-5857-4685-be1f-d57550cc96cc" xsi:nil="true"/>
    <EditorialTags xmlns="4873beb7-5857-4685-be1f-d57550cc96cc" xsi:nil="true"/>
    <LegacyData xmlns="4873beb7-5857-4685-be1f-d57550cc96cc" xsi:nil="true"/>
    <Downloads xmlns="4873beb7-5857-4685-be1f-d57550cc96cc">0</Downloads>
    <Providers xmlns="4873beb7-5857-4685-be1f-d57550cc96cc" xsi:nil="true"/>
    <TemplateTemplateType xmlns="4873beb7-5857-4685-be1f-d57550cc96cc">Excel - Macro 12 Default</TemplateTemplateType>
    <OOCacheId xmlns="4873beb7-5857-4685-be1f-d57550cc96cc" xsi:nil="true"/>
    <BlockPublish xmlns="4873beb7-5857-4685-be1f-d57550cc96cc" xsi:nil="true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105657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0a71c674eef08d879934d20761a456a8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3d3214b44b1ae146932280271da1b365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86ED714-2F60-4594-9F4A-5213910CCF85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873beb7-5857-4685-be1f-d57550cc96cc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B2618-32E5-4AD0-8F5D-6DD67DFF8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4DAC5B-4E74-4480-9563-B77034FDA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员工信息</vt:lpstr>
      <vt:lpstr>工资计算器</vt:lpstr>
      <vt:lpstr>个人工资单</vt:lpstr>
      <vt:lpstr>工资计算器!Print_Area</vt:lpstr>
      <vt:lpstr>员工信息!Print_Area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2006-08-07T19:28:17Z</dcterms:created>
  <dcterms:modified xsi:type="dcterms:W3CDTF">2019-09-12T03:21:45Z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mageGenCounter">
    <vt:lpwstr>0</vt:lpwstr>
  </property>
  <property fmtid="{D5CDD505-2E9C-101B-9397-08002B2CF9AE}" pid="4" name="ViolationReportStatus">
    <vt:lpwstr>None</vt:lpwstr>
  </property>
  <property fmtid="{D5CDD505-2E9C-101B-9397-08002B2CF9AE}" pid="5" name="ImageGenStatus">
    <vt:lpwstr>0</vt:lpwstr>
  </property>
  <property fmtid="{D5CDD505-2E9C-101B-9397-08002B2CF9AE}" pid="6" name="PolicheckStatus">
    <vt:lpwstr>0</vt:lpwstr>
  </property>
  <property fmtid="{D5CDD505-2E9C-101B-9397-08002B2CF9AE}" pid="7" name="Applications">
    <vt:lpwstr>23;#zxl120;#405;#zxl140;#79;#tpl120</vt:lpwstr>
  </property>
  <property fmtid="{D5CDD505-2E9C-101B-9397-08002B2CF9AE}" pid="8" name="PolicheckCounter">
    <vt:lpwstr>0</vt:lpwstr>
  </property>
  <property fmtid="{D5CDD505-2E9C-101B-9397-08002B2CF9AE}" pid="9" name="APTrustLevel">
    <vt:r8>1</vt:r8>
  </property>
  <property fmtid="{D5CDD505-2E9C-101B-9397-08002B2CF9AE}" pid="10" name="MSIP_Label_f42aa342-8706-4288-bd11-ebb85995028c_Enabled">
    <vt:lpwstr>True</vt:lpwstr>
  </property>
  <property fmtid="{D5CDD505-2E9C-101B-9397-08002B2CF9AE}" pid="11" name="MSIP_Label_f42aa342-8706-4288-bd11-ebb85995028c_SiteId">
    <vt:lpwstr>72f988bf-86f1-41af-91ab-2d7cd011db47</vt:lpwstr>
  </property>
  <property fmtid="{D5CDD505-2E9C-101B-9397-08002B2CF9AE}" pid="12" name="MSIP_Label_f42aa342-8706-4288-bd11-ebb85995028c_Owner">
    <vt:lpwstr>dduffy@microsoft.com</vt:lpwstr>
  </property>
  <property fmtid="{D5CDD505-2E9C-101B-9397-08002B2CF9AE}" pid="13" name="MSIP_Label_f42aa342-8706-4288-bd11-ebb85995028c_SetDate">
    <vt:lpwstr>2017-12-01T21:19:11.4003260Z</vt:lpwstr>
  </property>
  <property fmtid="{D5CDD505-2E9C-101B-9397-08002B2CF9AE}" pid="14" name="MSIP_Label_f42aa342-8706-4288-bd11-ebb85995028c_Name">
    <vt:lpwstr>General</vt:lpwstr>
  </property>
  <property fmtid="{D5CDD505-2E9C-101B-9397-08002B2CF9AE}" pid="15" name="MSIP_Label_f42aa342-8706-4288-bd11-ebb85995028c_Application">
    <vt:lpwstr>Microsoft Azure Information Protection</vt:lpwstr>
  </property>
  <property fmtid="{D5CDD505-2E9C-101B-9397-08002B2CF9AE}" pid="16" name="MSIP_Label_f42aa342-8706-4288-bd11-ebb85995028c_Extended_MSFT_Method">
    <vt:lpwstr>Automatic</vt:lpwstr>
  </property>
  <property fmtid="{D5CDD505-2E9C-101B-9397-08002B2CF9AE}" pid="17" name="Sensitivity">
    <vt:lpwstr>General</vt:lpwstr>
  </property>
</Properties>
</file>